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24" activeTab="7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'Всього'!$F$1:$F$93</definedName>
    <definedName name="_xlnm._FilterDatabase" localSheetId="5" hidden="1">'місц.-район.бюджет'!$F$1:$F$103</definedName>
    <definedName name="_xlnm.Print_Area" localSheetId="0">'Всього'!$A$1:$N$46</definedName>
    <definedName name="_xlnm.Print_Area" localSheetId="7">'госпрозрахунк.'!$A$1:$N$46</definedName>
    <definedName name="_xlnm.Print_Area" localSheetId="4">'держ.бюджет'!$A$1:$N$46</definedName>
    <definedName name="_xlnm.Print_Area" localSheetId="2">'льготи'!$A$1:$N$46</definedName>
    <definedName name="_xlnm.Print_Area" localSheetId="5">'місц.-район.бюджет'!$A$1:$N$46</definedName>
    <definedName name="_xlnm.Print_Area" localSheetId="1">'населення'!$A$1:$N$46</definedName>
    <definedName name="_xlnm.Print_Area" localSheetId="6">'обласной'!$A$1:$N$46</definedName>
    <definedName name="_xlnm.Print_Area" localSheetId="3">'субсидии'!$A$1:$N$46</definedName>
  </definedNames>
  <calcPr fullCalcOnLoad="1"/>
</workbook>
</file>

<file path=xl/sharedStrings.xml><?xml version="1.0" encoding="utf-8"?>
<sst xmlns="http://schemas.openxmlformats.org/spreadsheetml/2006/main" count="574" uniqueCount="119">
  <si>
    <t>%</t>
  </si>
  <si>
    <t>Сальдо</t>
  </si>
  <si>
    <t xml:space="preserve"> Первомайський р-н</t>
  </si>
  <si>
    <t xml:space="preserve"> Печенізький  р-н</t>
  </si>
  <si>
    <t xml:space="preserve"> Сахновщинський р-н</t>
  </si>
  <si>
    <t>м.Харків:</t>
  </si>
  <si>
    <t>По  районах і містах області, в т.ч.:</t>
  </si>
  <si>
    <t xml:space="preserve">Усього </t>
  </si>
  <si>
    <t xml:space="preserve"> Коломацький</t>
  </si>
  <si>
    <t>п.п.</t>
  </si>
  <si>
    <t xml:space="preserve"> </t>
  </si>
  <si>
    <t xml:space="preserve"> Харківський р-н</t>
  </si>
  <si>
    <t xml:space="preserve"> Балаклійський  р-н (КП БРР "Балаклійські теплові мережі")</t>
  </si>
  <si>
    <t xml:space="preserve"> Борівський  р-н (Борівське КПТМ) </t>
  </si>
  <si>
    <t xml:space="preserve"> Валківський  р-н (ТОВ "КЛК")</t>
  </si>
  <si>
    <t xml:space="preserve"> В. Бурлуцький  р-н (ТОВ "КЛК")</t>
  </si>
  <si>
    <t xml:space="preserve"> Вовчанський  р-н (Вовчанське КПТМ)</t>
  </si>
  <si>
    <t xml:space="preserve"> Дворічанський  р-н (ТОВ "КЛК")</t>
  </si>
  <si>
    <t xml:space="preserve"> Дергачівський р-н (ХОКП "ДРІТ")</t>
  </si>
  <si>
    <t xml:space="preserve"> Зачепилівський р-н (ТОВ "КЛК")</t>
  </si>
  <si>
    <t xml:space="preserve"> Зміївський  р-н (ТОВ "КЛК") </t>
  </si>
  <si>
    <t xml:space="preserve"> Золочівський р-н (ХОКП "ДРІТ")</t>
  </si>
  <si>
    <t xml:space="preserve"> Ізюмський р-н (Ізюмське КПТМ)</t>
  </si>
  <si>
    <t xml:space="preserve"> Кегичівський р-н (ТОВ "Володар Кегичівка") </t>
  </si>
  <si>
    <t xml:space="preserve"> Красноградський р-н (Красноградське ПТМ)</t>
  </si>
  <si>
    <t xml:space="preserve"> Краснокутський  р-н (ТОВ "КЛК")</t>
  </si>
  <si>
    <t xml:space="preserve"> Куп"янський р-н (ХОКП "ДРІТ")</t>
  </si>
  <si>
    <t xml:space="preserve"> Н-Водолазький  р-н (Нововодолазьке КПТМ)</t>
  </si>
  <si>
    <t xml:space="preserve"> Шевченківський  р-н (ХОКП "ДРІТ")</t>
  </si>
  <si>
    <t xml:space="preserve"> м. Ізюм (Ізюмське КПТМ)</t>
  </si>
  <si>
    <t xml:space="preserve"> м. Куп"янськ (ХОКП "ДРІТ")</t>
  </si>
  <si>
    <t xml:space="preserve"> м.  Люботин (ХОКП "ДРІТ")</t>
  </si>
  <si>
    <t xml:space="preserve"> м.  Первомайський (Первомайське КП "Тепломережі")</t>
  </si>
  <si>
    <t xml:space="preserve"> м. Чугуїв (КП "Чугуївтепло") </t>
  </si>
  <si>
    <t xml:space="preserve"> КП "ХТМ"</t>
  </si>
  <si>
    <t>Барвінківський р-н ( ХОКП "Дирекція розвитку інфраструктури території")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</si>
  <si>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</si>
  <si>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</si>
  <si>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</si>
  <si>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</si>
  <si>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</si>
  <si>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</si>
  <si>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</si>
  <si>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>ТОВ "КЛК"</t>
  </si>
  <si>
    <t xml:space="preserve"> - найкращі показники</t>
  </si>
  <si>
    <t xml:space="preserve"> - незадовільні показники</t>
  </si>
  <si>
    <t>Название  районов, городов</t>
  </si>
  <si>
    <t>оплачено</t>
  </si>
  <si>
    <t>тыс.грн.</t>
  </si>
  <si>
    <t>По районам и городам области, в т.ч.:</t>
  </si>
  <si>
    <t xml:space="preserve"> Балаклейский  р-н (КП БРР "Балаклейские тепловые сети")</t>
  </si>
  <si>
    <t xml:space="preserve"> Валковский  р-н (ООО "КБК")</t>
  </si>
  <si>
    <t xml:space="preserve"> В. Бурлукский  р-н (ООО "КБК")</t>
  </si>
  <si>
    <t xml:space="preserve"> Волчанский  р-н (Волчанское КПТС)</t>
  </si>
  <si>
    <t xml:space="preserve"> Двуречанский  р-н (ООО "КБК")</t>
  </si>
  <si>
    <t xml:space="preserve"> Дергачевский р-н (ХОКП "ДРИТ")</t>
  </si>
  <si>
    <t xml:space="preserve"> Зачепиловский р-н (ООО "КБК")</t>
  </si>
  <si>
    <t xml:space="preserve"> Золочевский р-н (ХОКП "ДРИТ")</t>
  </si>
  <si>
    <t xml:space="preserve"> Изюмский р-н (Изюмское КПТС)</t>
  </si>
  <si>
    <t xml:space="preserve"> Кегичевский р-н (ООО "Володарь Кегичевка") </t>
  </si>
  <si>
    <t xml:space="preserve"> Коломакский</t>
  </si>
  <si>
    <t xml:space="preserve"> Красноградский р-н (Красноградское ПТС)</t>
  </si>
  <si>
    <t xml:space="preserve"> Краснокутский  р-н (ООО "КБК")</t>
  </si>
  <si>
    <t xml:space="preserve"> Купянский р-н (ХОКП "ДРИТ")</t>
  </si>
  <si>
    <t xml:space="preserve"> Н-Водолажский  р-н (Нововодолажское КПТС)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</si>
  <si>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</si>
  <si>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</si>
  <si>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</si>
  <si>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</si>
  <si>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>ООО "КБК"</t>
  </si>
  <si>
    <t xml:space="preserve"> Шевченковский  р-н (ХОКП "ДРИТ")</t>
  </si>
  <si>
    <t xml:space="preserve"> г. Изюм (Изюмское КПТС)</t>
  </si>
  <si>
    <t xml:space="preserve"> г. Купянск (ХОКП "ДРИТ")</t>
  </si>
  <si>
    <t xml:space="preserve"> г.  Люботин (ХОКП "ДРИТ")</t>
  </si>
  <si>
    <t xml:space="preserve"> г.  Первомайский (Первомайское КП "Теплосети")</t>
  </si>
  <si>
    <t xml:space="preserve"> г. Чугуев (КП "Чугуевтепло") </t>
  </si>
  <si>
    <t>г.Харьков:</t>
  </si>
  <si>
    <t xml:space="preserve"> КП "ХТС"</t>
  </si>
  <si>
    <t xml:space="preserve">Всего </t>
  </si>
  <si>
    <t xml:space="preserve"> Боровской  р-н (Боровское КПТС) </t>
  </si>
  <si>
    <t xml:space="preserve"> Змиевской  р-н (ООО "КБК") </t>
  </si>
  <si>
    <t>Барвенковский р-н ( ХОКП "Дирекция развития инфраструктуры территории")</t>
  </si>
  <si>
    <t xml:space="preserve"> - лучшие показатели</t>
  </si>
  <si>
    <t xml:space="preserve"> - худшие показатели</t>
  </si>
  <si>
    <t xml:space="preserve">Состояние расчетов учреждений,которые финансируются из государственного бюджета, </t>
  </si>
  <si>
    <t xml:space="preserve">Состояние расчетов учреждений,которые финансируются из местных бюджетов, </t>
  </si>
  <si>
    <t xml:space="preserve">Состояние расчетов учреждений,которые финансируются из областного бюджета, </t>
  </si>
  <si>
    <t xml:space="preserve"> Харьковский р-н </t>
  </si>
  <si>
    <t>Состояние расчетов хозрасчетных потребителей</t>
  </si>
  <si>
    <t>Состояние расчетов потребителей области</t>
  </si>
  <si>
    <t>Состояние расчетов населения</t>
  </si>
  <si>
    <t>централизовано услуги не оказываются</t>
  </si>
  <si>
    <t>Состояние возмещения предоставленных льгот</t>
  </si>
  <si>
    <t>Состояние возмещения предоставленных субсидий</t>
  </si>
  <si>
    <t xml:space="preserve"> Лозовской р-н ( КП "Тепловодосервис") </t>
  </si>
  <si>
    <t xml:space="preserve"> Чугуевский р-н (ООО "КБК", ХОКП "ДРИТ")</t>
  </si>
  <si>
    <t xml:space="preserve"> г. Лозовая (КП "Теплоэнерго")</t>
  </si>
  <si>
    <t xml:space="preserve"> Близнюковский р-н (ООО "Близнюковский Райселькоммунхоз")</t>
  </si>
  <si>
    <t>Р.С. Грива</t>
  </si>
  <si>
    <t>КП "ХТС"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</si>
  <si>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</si>
  <si>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</si>
  <si>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</si>
  <si>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КП ТС Харьковского района, КП "Комєнерго"</t>
  </si>
  <si>
    <t xml:space="preserve"> м.  Первомайський (Первомайське 
КП "Тепломережі")</t>
  </si>
  <si>
    <t>КП ТС Харьковского района, КП "Комэнерго"</t>
  </si>
  <si>
    <t>КП ТС Харьковского района, КП "Коменерго"</t>
  </si>
  <si>
    <t>на 01.01.2017</t>
  </si>
  <si>
    <t xml:space="preserve"> Богодуховский  р-н </t>
  </si>
  <si>
    <t xml:space="preserve"> Богодухівський  р-н </t>
  </si>
  <si>
    <t xml:space="preserve"> Богодуховский  р-н</t>
  </si>
  <si>
    <t>p</t>
  </si>
  <si>
    <t>по оплате услуг теплоснабжения по состоянию на 01.03.2017</t>
  </si>
  <si>
    <t>Общая задолженность на 01.03.2017 (с учетом долгов прошлых лет)</t>
  </si>
  <si>
    <t>январь</t>
  </si>
  <si>
    <t>начислено</t>
  </si>
  <si>
    <t>февраль</t>
  </si>
  <si>
    <t xml:space="preserve">с начала 2017 года </t>
  </si>
  <si>
    <t xml:space="preserve">Задолженность за 2017 год по состоянию на 01.03.2017 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</si>
</sst>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9"/>
      <name val="Times New Roman Cyr"/>
      <family val="1"/>
    </font>
    <font>
      <sz val="8"/>
      <name val="Segoe U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b/>
      <sz val="14"/>
      <color theme="0"/>
      <name val="Times New Roman Cyr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59" fillId="33" borderId="0" xfId="0" applyFont="1" applyFill="1" applyAlignment="1">
      <alignment horizontal="center"/>
    </xf>
    <xf numFmtId="0" fontId="60" fillId="33" borderId="0" xfId="0" applyFont="1" applyFill="1" applyAlignment="1">
      <alignment wrapText="1"/>
    </xf>
    <xf numFmtId="188" fontId="59" fillId="33" borderId="0" xfId="0" applyNumberFormat="1" applyFont="1" applyFill="1" applyAlignment="1">
      <alignment/>
    </xf>
    <xf numFmtId="0" fontId="60" fillId="33" borderId="0" xfId="0" applyFont="1" applyFill="1" applyAlignment="1">
      <alignment horizontal="left" vertical="center" wrapText="1"/>
    </xf>
    <xf numFmtId="0" fontId="59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 vertical="center" wrapText="1"/>
    </xf>
    <xf numFmtId="192" fontId="16" fillId="33" borderId="13" xfId="0" applyNumberFormat="1" applyFont="1" applyFill="1" applyBorder="1" applyAlignment="1">
      <alignment wrapText="1"/>
    </xf>
    <xf numFmtId="192" fontId="14" fillId="33" borderId="13" xfId="0" applyNumberFormat="1" applyFont="1" applyFill="1" applyBorder="1" applyAlignment="1">
      <alignment wrapText="1"/>
    </xf>
    <xf numFmtId="192" fontId="3" fillId="33" borderId="13" xfId="0" applyNumberFormat="1" applyFont="1" applyFill="1" applyBorder="1" applyAlignment="1">
      <alignment wrapText="1"/>
    </xf>
    <xf numFmtId="192" fontId="8" fillId="33" borderId="13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92" fontId="13" fillId="33" borderId="13" xfId="0" applyNumberFormat="1" applyFont="1" applyFill="1" applyBorder="1" applyAlignment="1">
      <alignment/>
    </xf>
    <xf numFmtId="192" fontId="4" fillId="33" borderId="13" xfId="0" applyNumberFormat="1" applyFont="1" applyFill="1" applyBorder="1" applyAlignment="1">
      <alignment wrapText="1"/>
    </xf>
    <xf numFmtId="192" fontId="3" fillId="33" borderId="13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left" wrapText="1"/>
    </xf>
    <xf numFmtId="1" fontId="4" fillId="33" borderId="13" xfId="0" applyNumberFormat="1" applyFont="1" applyFill="1" applyBorder="1" applyAlignment="1">
      <alignment wrapText="1"/>
    </xf>
    <xf numFmtId="192" fontId="5" fillId="33" borderId="13" xfId="0" applyNumberFormat="1" applyFont="1" applyFill="1" applyBorder="1" applyAlignment="1">
      <alignment/>
    </xf>
    <xf numFmtId="192" fontId="5" fillId="33" borderId="13" xfId="0" applyNumberFormat="1" applyFont="1" applyFill="1" applyBorder="1" applyAlignment="1">
      <alignment wrapText="1"/>
    </xf>
    <xf numFmtId="192" fontId="12" fillId="33" borderId="13" xfId="0" applyNumberFormat="1" applyFont="1" applyFill="1" applyBorder="1" applyAlignment="1">
      <alignment wrapText="1"/>
    </xf>
    <xf numFmtId="192" fontId="12" fillId="33" borderId="13" xfId="0" applyNumberFormat="1" applyFont="1" applyFill="1" applyBorder="1" applyAlignment="1">
      <alignment/>
    </xf>
    <xf numFmtId="192" fontId="3" fillId="33" borderId="14" xfId="0" applyNumberFormat="1" applyFont="1" applyFill="1" applyBorder="1" applyAlignment="1">
      <alignment vertical="center"/>
    </xf>
    <xf numFmtId="192" fontId="3" fillId="33" borderId="15" xfId="0" applyNumberFormat="1" applyFont="1" applyFill="1" applyBorder="1" applyAlignment="1">
      <alignment vertical="center"/>
    </xf>
    <xf numFmtId="192" fontId="61" fillId="33" borderId="13" xfId="0" applyNumberFormat="1" applyFont="1" applyFill="1" applyBorder="1" applyAlignment="1">
      <alignment/>
    </xf>
    <xf numFmtId="192" fontId="62" fillId="33" borderId="13" xfId="0" applyNumberFormat="1" applyFont="1" applyFill="1" applyBorder="1" applyAlignment="1">
      <alignment wrapText="1"/>
    </xf>
    <xf numFmtId="192" fontId="3" fillId="33" borderId="16" xfId="0" applyNumberFormat="1" applyFont="1" applyFill="1" applyBorder="1" applyAlignment="1">
      <alignment vertical="center" wrapText="1"/>
    </xf>
    <xf numFmtId="192" fontId="3" fillId="33" borderId="17" xfId="0" applyNumberFormat="1" applyFont="1" applyFill="1" applyBorder="1" applyAlignment="1">
      <alignment vertical="center" wrapText="1"/>
    </xf>
    <xf numFmtId="192" fontId="3" fillId="33" borderId="18" xfId="0" applyNumberFormat="1" applyFont="1" applyFill="1" applyBorder="1" applyAlignment="1">
      <alignment vertical="center" wrapText="1"/>
    </xf>
    <xf numFmtId="0" fontId="17" fillId="33" borderId="19" xfId="0" applyFont="1" applyFill="1" applyBorder="1" applyAlignment="1">
      <alignment vertical="center"/>
    </xf>
    <xf numFmtId="192" fontId="3" fillId="33" borderId="20" xfId="0" applyNumberFormat="1" applyFont="1" applyFill="1" applyBorder="1" applyAlignment="1">
      <alignment vertical="center" wrapText="1"/>
    </xf>
    <xf numFmtId="0" fontId="17" fillId="33" borderId="21" xfId="0" applyFont="1" applyFill="1" applyBorder="1" applyAlignment="1">
      <alignment vertical="center"/>
    </xf>
    <xf numFmtId="192" fontId="3" fillId="33" borderId="22" xfId="0" applyNumberFormat="1" applyFont="1" applyFill="1" applyBorder="1" applyAlignment="1">
      <alignment vertical="center" wrapText="1"/>
    </xf>
    <xf numFmtId="192" fontId="3" fillId="33" borderId="23" xfId="0" applyNumberFormat="1" applyFont="1" applyFill="1" applyBorder="1" applyAlignment="1">
      <alignment vertical="center" wrapText="1"/>
    </xf>
    <xf numFmtId="192" fontId="4" fillId="33" borderId="13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192" fontId="14" fillId="33" borderId="13" xfId="0" applyNumberFormat="1" applyFont="1" applyFill="1" applyBorder="1" applyAlignment="1">
      <alignment/>
    </xf>
    <xf numFmtId="192" fontId="8" fillId="33" borderId="13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92" fontId="14" fillId="33" borderId="0" xfId="0" applyNumberFormat="1" applyFont="1" applyFill="1" applyBorder="1" applyAlignment="1">
      <alignment/>
    </xf>
    <xf numFmtId="192" fontId="8" fillId="33" borderId="0" xfId="0" applyNumberFormat="1" applyFont="1" applyFill="1" applyBorder="1" applyAlignment="1">
      <alignment wrapText="1"/>
    </xf>
    <xf numFmtId="192" fontId="3" fillId="33" borderId="0" xfId="0" applyNumberFormat="1" applyFont="1" applyFill="1" applyBorder="1" applyAlignment="1">
      <alignment wrapText="1"/>
    </xf>
    <xf numFmtId="188" fontId="4" fillId="33" borderId="0" xfId="0" applyNumberFormat="1" applyFont="1" applyFill="1" applyAlignment="1">
      <alignment/>
    </xf>
    <xf numFmtId="192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wrapText="1"/>
    </xf>
    <xf numFmtId="188" fontId="3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 horizontal="right"/>
    </xf>
    <xf numFmtId="188" fontId="3" fillId="33" borderId="0" xfId="0" applyNumberFormat="1" applyFont="1" applyFill="1" applyAlignment="1">
      <alignment horizontal="right"/>
    </xf>
    <xf numFmtId="188" fontId="13" fillId="33" borderId="0" xfId="0" applyNumberFormat="1" applyFont="1" applyFill="1" applyAlignment="1">
      <alignment/>
    </xf>
    <xf numFmtId="188" fontId="4" fillId="33" borderId="0" xfId="0" applyNumberFormat="1" applyFont="1" applyFill="1" applyAlignment="1">
      <alignment horizontal="right"/>
    </xf>
    <xf numFmtId="1" fontId="13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188" fontId="13" fillId="33" borderId="13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3" fillId="33" borderId="17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192" fontId="18" fillId="33" borderId="0" xfId="0" applyNumberFormat="1" applyFont="1" applyFill="1" applyAlignment="1">
      <alignment horizontal="left"/>
    </xf>
    <xf numFmtId="192" fontId="6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left" vertical="justify"/>
    </xf>
    <xf numFmtId="0" fontId="4" fillId="33" borderId="22" xfId="0" applyFont="1" applyFill="1" applyBorder="1" applyAlignment="1">
      <alignment/>
    </xf>
    <xf numFmtId="192" fontId="14" fillId="33" borderId="12" xfId="0" applyNumberFormat="1" applyFont="1" applyFill="1" applyBorder="1" applyAlignment="1">
      <alignment wrapText="1"/>
    </xf>
    <xf numFmtId="0" fontId="19" fillId="33" borderId="0" xfId="0" applyFont="1" applyFill="1" applyAlignment="1">
      <alignment horizontal="center" vertical="center" wrapText="1" shrinkToFit="1"/>
    </xf>
    <xf numFmtId="1" fontId="14" fillId="33" borderId="0" xfId="0" applyNumberFormat="1" applyFont="1" applyFill="1" applyAlignment="1">
      <alignment/>
    </xf>
    <xf numFmtId="1" fontId="7" fillId="33" borderId="0" xfId="0" applyNumberFormat="1" applyFont="1" applyFill="1" applyAlignment="1">
      <alignment/>
    </xf>
    <xf numFmtId="192" fontId="12" fillId="33" borderId="0" xfId="0" applyNumberFormat="1" applyFont="1" applyFill="1" applyBorder="1" applyAlignment="1">
      <alignment wrapText="1"/>
    </xf>
    <xf numFmtId="1" fontId="7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1" fontId="13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14" fillId="33" borderId="0" xfId="0" applyFont="1" applyFill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4" fillId="33" borderId="13" xfId="0" applyFont="1" applyFill="1" applyBorder="1" applyAlignment="1">
      <alignment/>
    </xf>
    <xf numFmtId="192" fontId="3" fillId="33" borderId="13" xfId="0" applyNumberFormat="1" applyFont="1" applyFill="1" applyBorder="1" applyAlignment="1">
      <alignment horizontal="right"/>
    </xf>
    <xf numFmtId="192" fontId="12" fillId="33" borderId="13" xfId="0" applyNumberFormat="1" applyFont="1" applyFill="1" applyBorder="1" applyAlignment="1">
      <alignment horizontal="right"/>
    </xf>
    <xf numFmtId="0" fontId="9" fillId="33" borderId="13" xfId="0" applyFont="1" applyFill="1" applyBorder="1" applyAlignment="1">
      <alignment/>
    </xf>
    <xf numFmtId="192" fontId="3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192" fontId="3" fillId="33" borderId="0" xfId="0" applyNumberFormat="1" applyFont="1" applyFill="1" applyBorder="1" applyAlignment="1">
      <alignment horizontal="center"/>
    </xf>
    <xf numFmtId="192" fontId="4" fillId="33" borderId="0" xfId="0" applyNumberFormat="1" applyFont="1" applyFill="1" applyBorder="1" applyAlignment="1">
      <alignment horizontal="center"/>
    </xf>
    <xf numFmtId="188" fontId="4" fillId="33" borderId="13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192" fontId="13" fillId="0" borderId="13" xfId="0" applyNumberFormat="1" applyFont="1" applyFill="1" applyBorder="1" applyAlignment="1">
      <alignment/>
    </xf>
    <xf numFmtId="192" fontId="4" fillId="0" borderId="13" xfId="0" applyNumberFormat="1" applyFont="1" applyFill="1" applyBorder="1" applyAlignment="1">
      <alignment wrapText="1"/>
    </xf>
    <xf numFmtId="192" fontId="3" fillId="0" borderId="1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15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192" fontId="16" fillId="0" borderId="13" xfId="0" applyNumberFormat="1" applyFont="1" applyFill="1" applyBorder="1" applyAlignment="1">
      <alignment/>
    </xf>
    <xf numFmtId="192" fontId="3" fillId="0" borderId="13" xfId="0" applyNumberFormat="1" applyFont="1" applyFill="1" applyBorder="1" applyAlignment="1">
      <alignment wrapText="1"/>
    </xf>
    <xf numFmtId="192" fontId="15" fillId="0" borderId="13" xfId="0" applyNumberFormat="1" applyFont="1" applyFill="1" applyBorder="1" applyAlignment="1">
      <alignment/>
    </xf>
    <xf numFmtId="192" fontId="4" fillId="0" borderId="13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 wrapText="1"/>
    </xf>
    <xf numFmtId="0" fontId="10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3" fillId="0" borderId="0" xfId="0" applyNumberFormat="1" applyFont="1" applyFill="1" applyBorder="1" applyAlignment="1">
      <alignment/>
    </xf>
    <xf numFmtId="192" fontId="16" fillId="0" borderId="0" xfId="0" applyNumberFormat="1" applyFont="1" applyFill="1" applyBorder="1" applyAlignment="1">
      <alignment/>
    </xf>
    <xf numFmtId="192" fontId="3" fillId="0" borderId="24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0" fontId="9" fillId="0" borderId="13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5" fillId="33" borderId="10" xfId="0" applyFont="1" applyFill="1" applyBorder="1" applyAlignment="1">
      <alignment horizontal="center" vertical="center"/>
    </xf>
    <xf numFmtId="192" fontId="61" fillId="0" borderId="13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192" fontId="3" fillId="0" borderId="0" xfId="0" applyNumberFormat="1" applyFont="1" applyFill="1" applyAlignment="1">
      <alignment/>
    </xf>
    <xf numFmtId="192" fontId="4" fillId="0" borderId="0" xfId="0" applyNumberFormat="1" applyFont="1" applyFill="1" applyBorder="1" applyAlignment="1">
      <alignment/>
    </xf>
    <xf numFmtId="192" fontId="5" fillId="0" borderId="13" xfId="0" applyNumberFormat="1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88" fontId="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/>
    </xf>
    <xf numFmtId="0" fontId="4" fillId="0" borderId="16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192" fontId="12" fillId="0" borderId="13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92" fontId="5" fillId="33" borderId="24" xfId="0" applyNumberFormat="1" applyFont="1" applyFill="1" applyBorder="1" applyAlignment="1">
      <alignment wrapText="1"/>
    </xf>
    <xf numFmtId="192" fontId="3" fillId="33" borderId="13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192" fontId="3" fillId="33" borderId="0" xfId="0" applyNumberFormat="1" applyFont="1" applyFill="1" applyBorder="1" applyAlignment="1">
      <alignment horizontal="center" vertical="center" wrapText="1"/>
    </xf>
    <xf numFmtId="192" fontId="3" fillId="33" borderId="20" xfId="0" applyNumberFormat="1" applyFont="1" applyFill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wrapText="1"/>
    </xf>
    <xf numFmtId="192" fontId="3" fillId="33" borderId="11" xfId="0" applyNumberFormat="1" applyFont="1" applyFill="1" applyBorder="1" applyAlignment="1">
      <alignment horizontal="center" wrapText="1"/>
    </xf>
    <xf numFmtId="192" fontId="3" fillId="33" borderId="12" xfId="0" applyNumberFormat="1" applyFont="1" applyFill="1" applyBorder="1" applyAlignment="1">
      <alignment horizontal="center" wrapText="1"/>
    </xf>
    <xf numFmtId="49" fontId="4" fillId="33" borderId="24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6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justify" wrapText="1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 wrapText="1"/>
    </xf>
    <xf numFmtId="192" fontId="3" fillId="33" borderId="24" xfId="0" applyNumberFormat="1" applyFont="1" applyFill="1" applyBorder="1" applyAlignment="1">
      <alignment horizontal="center" vertical="center"/>
    </xf>
    <xf numFmtId="192" fontId="3" fillId="33" borderId="14" xfId="0" applyNumberFormat="1" applyFont="1" applyFill="1" applyBorder="1" applyAlignment="1">
      <alignment horizontal="center" vertical="center"/>
    </xf>
    <xf numFmtId="192" fontId="3" fillId="33" borderId="15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11" fillId="33" borderId="0" xfId="0" applyFont="1" applyFill="1" applyAlignment="1">
      <alignment horizontal="left" vertical="justify" wrapText="1"/>
    </xf>
    <xf numFmtId="0" fontId="11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 shrinkToFit="1"/>
    </xf>
    <xf numFmtId="0" fontId="11" fillId="33" borderId="0" xfId="0" applyFont="1" applyFill="1" applyAlignment="1">
      <alignment horizontal="left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192" fontId="60" fillId="0" borderId="13" xfId="0" applyNumberFormat="1" applyFont="1" applyFill="1" applyBorder="1" applyAlignment="1">
      <alignment wrapText="1"/>
    </xf>
    <xf numFmtId="192" fontId="64" fillId="0" borderId="13" xfId="0" applyNumberFormat="1" applyFont="1" applyFill="1" applyBorder="1" applyAlignment="1">
      <alignment wrapText="1"/>
    </xf>
    <xf numFmtId="188" fontId="60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/>
    </xf>
    <xf numFmtId="192" fontId="60" fillId="33" borderId="13" xfId="0" applyNumberFormat="1" applyFont="1" applyFill="1" applyBorder="1" applyAlignment="1">
      <alignment wrapText="1"/>
    </xf>
    <xf numFmtId="188" fontId="3" fillId="33" borderId="13" xfId="0" applyNumberFormat="1" applyFont="1" applyFill="1" applyBorder="1" applyAlignment="1">
      <alignment wrapText="1"/>
    </xf>
    <xf numFmtId="0" fontId="41" fillId="33" borderId="0" xfId="0" applyFont="1" applyFill="1" applyAlignment="1">
      <alignment horizontal="left"/>
    </xf>
    <xf numFmtId="1" fontId="3" fillId="33" borderId="0" xfId="0" applyNumberFormat="1" applyFont="1" applyFill="1" applyBorder="1" applyAlignment="1">
      <alignment/>
    </xf>
    <xf numFmtId="192" fontId="64" fillId="33" borderId="13" xfId="0" applyNumberFormat="1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93"/>
  <sheetViews>
    <sheetView view="pageBreakPreview" zoomScale="69" zoomScaleNormal="50" zoomScaleSheetLayoutView="69" zoomScalePageLayoutView="80" workbookViewId="0" topLeftCell="A1">
      <pane xSplit="6" ySplit="9" topLeftCell="G4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F8" sqref="F8"/>
    </sheetView>
  </sheetViews>
  <sheetFormatPr defaultColWidth="7.875" defaultRowHeight="12.75"/>
  <cols>
    <col min="1" max="1" width="6.625" style="106" customWidth="1"/>
    <col min="2" max="2" width="65.125" style="104" customWidth="1"/>
    <col min="3" max="3" width="17.75390625" style="107" customWidth="1"/>
    <col min="4" max="4" width="18.125" style="104" customWidth="1"/>
    <col min="5" max="5" width="17.875" style="104" customWidth="1"/>
    <col min="6" max="6" width="13.75390625" style="108" customWidth="1"/>
    <col min="7" max="7" width="16.625" style="104" customWidth="1"/>
    <col min="8" max="8" width="16.125" style="104" customWidth="1"/>
    <col min="9" max="9" width="12.00390625" style="108" customWidth="1"/>
    <col min="10" max="11" width="14.75390625" style="104" customWidth="1"/>
    <col min="12" max="12" width="12.00390625" style="108" customWidth="1"/>
    <col min="13" max="13" width="21.125" style="104" customWidth="1"/>
    <col min="14" max="14" width="24.75390625" style="104" customWidth="1"/>
    <col min="15" max="15" width="14.875" style="104" customWidth="1"/>
    <col min="16" max="16" width="15.75390625" style="104" customWidth="1"/>
    <col min="17" max="17" width="14.25390625" style="104" customWidth="1"/>
    <col min="18" max="18" width="15.75390625" style="104" customWidth="1"/>
    <col min="19" max="16384" width="7.875" style="104" customWidth="1"/>
  </cols>
  <sheetData>
    <row r="1" spans="1:14" ht="18.75">
      <c r="A1" s="106" t="s">
        <v>10</v>
      </c>
      <c r="D1" s="109"/>
      <c r="E1" s="109"/>
      <c r="F1" s="110"/>
      <c r="G1" s="109"/>
      <c r="H1" s="109"/>
      <c r="I1" s="110"/>
      <c r="J1" s="109"/>
      <c r="K1" s="109"/>
      <c r="L1" s="110"/>
      <c r="M1" s="109"/>
      <c r="N1" s="110"/>
    </row>
    <row r="2" spans="2:14" ht="18.75">
      <c r="B2" s="169" t="s">
        <v>89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2:14" ht="18.75">
      <c r="B3" s="169" t="s">
        <v>112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2:14" ht="13.5" customHeight="1">
      <c r="B4" s="170"/>
      <c r="C4" s="170"/>
      <c r="N4" s="112" t="s">
        <v>48</v>
      </c>
    </row>
    <row r="5" spans="1:14" ht="36.75" customHeight="1">
      <c r="A5" s="142" t="s">
        <v>36</v>
      </c>
      <c r="B5" s="143"/>
      <c r="C5" s="144" t="s">
        <v>1</v>
      </c>
      <c r="D5" s="171" t="s">
        <v>114</v>
      </c>
      <c r="E5" s="172"/>
      <c r="F5" s="173"/>
      <c r="G5" s="174" t="s">
        <v>116</v>
      </c>
      <c r="H5" s="175"/>
      <c r="I5" s="176"/>
      <c r="J5" s="171" t="s">
        <v>117</v>
      </c>
      <c r="K5" s="172"/>
      <c r="L5" s="173"/>
      <c r="M5" s="167" t="s">
        <v>118</v>
      </c>
      <c r="N5" s="167" t="s">
        <v>113</v>
      </c>
    </row>
    <row r="6" spans="1:14" ht="38.25" customHeight="1">
      <c r="A6" s="145" t="s">
        <v>9</v>
      </c>
      <c r="B6" s="146" t="s">
        <v>46</v>
      </c>
      <c r="C6" s="113" t="s">
        <v>107</v>
      </c>
      <c r="D6" s="147" t="s">
        <v>115</v>
      </c>
      <c r="E6" s="147" t="s">
        <v>47</v>
      </c>
      <c r="F6" s="114" t="s">
        <v>0</v>
      </c>
      <c r="G6" s="147" t="s">
        <v>115</v>
      </c>
      <c r="H6" s="147" t="s">
        <v>47</v>
      </c>
      <c r="I6" s="114" t="s">
        <v>0</v>
      </c>
      <c r="J6" s="147" t="s">
        <v>115</v>
      </c>
      <c r="K6" s="147" t="s">
        <v>47</v>
      </c>
      <c r="L6" s="114" t="s">
        <v>0</v>
      </c>
      <c r="M6" s="168"/>
      <c r="N6" s="168"/>
    </row>
    <row r="7" spans="1:18" s="108" customFormat="1" ht="43.5" customHeight="1">
      <c r="A7" s="114"/>
      <c r="B7" s="115" t="s">
        <v>49</v>
      </c>
      <c r="C7" s="116">
        <f>SUM(C8:C42)</f>
        <v>325112.73</v>
      </c>
      <c r="D7" s="103">
        <f>населення!D7+льготи!D7+субсидии!D7+'держ.бюджет'!D7+'місц.-район.бюджет'!D7+обласной!D7+'госпрозрахунк.'!D7</f>
        <v>211038.3</v>
      </c>
      <c r="E7" s="103">
        <f>населення!E7+льготи!E7+субсидии!E7+'держ.бюджет'!E7+'місц.-район.бюджет'!E7+обласной!E7+'госпрозрахунк.'!E7</f>
        <v>165349.2</v>
      </c>
      <c r="F7" s="117">
        <f>E7/D7*100</f>
        <v>78.35032787887319</v>
      </c>
      <c r="G7" s="103">
        <f>населення!G7+льготи!G7+субсидии!G7+'держ.бюджет'!G7+'місц.-район.бюджет'!G7+обласной!G7+'госпрозрахунк.'!G7</f>
        <v>198382.09999999998</v>
      </c>
      <c r="H7" s="103">
        <f>населення!H7+льготи!H7+субсидии!H7+'держ.бюджет'!H7+'місц.-район.бюджет'!H7+обласной!H7+'госпрозрахунк.'!H7</f>
        <v>155300.50000000003</v>
      </c>
      <c r="I7" s="117">
        <f>H7/G7*100</f>
        <v>78.28352457202541</v>
      </c>
      <c r="J7" s="103">
        <f>населення!J7+льготи!J7+субсидии!J7+'держ.бюджет'!J7+'місц.-район.бюджет'!J7+обласной!J7+'госпрозрахунк.'!J7</f>
        <v>409420.4000000001</v>
      </c>
      <c r="K7" s="103">
        <f>населення!K7+льготи!K7+субсидии!K7+'держ.бюджет'!K7+'місц.-район.бюджет'!K7+обласной!K7+'госпрозрахунк.'!K7</f>
        <v>320649.69999999995</v>
      </c>
      <c r="L7" s="117">
        <f>K7/J7*100</f>
        <v>78.31795875339867</v>
      </c>
      <c r="M7" s="103">
        <f>населення!M7+льготи!M7+субсидии!M7+'держ.бюджет'!M7+'місц.-район.бюджет'!M7+обласной!M7+'госпрозрахунк.'!M7</f>
        <v>88770.7</v>
      </c>
      <c r="N7" s="103">
        <f>населення!N7+льготи!N7+субсидии!N7+'держ.бюджет'!N7+'місц.-район.бюджет'!N7+обласной!N7+'госпрозрахунк.'!N7</f>
        <v>413883.43000000005</v>
      </c>
      <c r="O7" s="138">
        <f>D7+G7</f>
        <v>409420.39999999997</v>
      </c>
      <c r="P7" s="138">
        <f>E7+H7</f>
        <v>320649.70000000007</v>
      </c>
      <c r="Q7" s="138">
        <f>O7-P7</f>
        <v>88770.6999999999</v>
      </c>
      <c r="R7" s="138">
        <f>C7+O7-P7</f>
        <v>413883.4299999998</v>
      </c>
    </row>
    <row r="8" spans="1:15" ht="39.75" customHeight="1">
      <c r="A8" s="105">
        <v>1</v>
      </c>
      <c r="B8" s="100" t="s">
        <v>50</v>
      </c>
      <c r="C8" s="118">
        <f>населення!C8+льготи!C8+субсидии!C8+'держ.бюджет'!C8+'місц.-район.бюджет'!C8+обласной!C8+'госпрозрахунк.'!C8</f>
        <v>29044.33</v>
      </c>
      <c r="D8" s="119">
        <f>населення!D8+льготи!D8+субсидии!D8+'держ.бюджет'!D8+'місц.-район.бюджет'!D8+обласной!D8+'госпрозрахунк.'!D8</f>
        <v>17129.600000000002</v>
      </c>
      <c r="E8" s="119">
        <f>населення!E8+льготи!E8+субсидии!E8+'держ.бюджет'!E8+'місц.-район.бюджет'!E8+обласной!E8+'госпрозрахунк.'!E8</f>
        <v>12430.8</v>
      </c>
      <c r="F8" s="117">
        <f>E8/D8*100</f>
        <v>72.56912011955912</v>
      </c>
      <c r="G8" s="119">
        <f>населення!G8+льготи!G8+субсидии!G8+'держ.бюджет'!G8+'місц.-район.бюджет'!G8+обласной!G8+'госпрозрахунк.'!G8</f>
        <v>15950.1</v>
      </c>
      <c r="H8" s="119">
        <f>населення!H8+льготи!H8+субсидии!H8+'держ.бюджет'!H8+'місц.-район.бюджет'!H8+обласной!H8+'госпрозрахунк.'!H8</f>
        <v>9381.099999999999</v>
      </c>
      <c r="I8" s="117">
        <f>H8/G8*100</f>
        <v>58.81530523319603</v>
      </c>
      <c r="J8" s="119">
        <f>населення!J8+льготи!J8+субсидии!J8+'держ.бюджет'!J8+'місц.-район.бюджет'!J8+обласной!J8+'госпрозрахунк.'!J8</f>
        <v>33079.7</v>
      </c>
      <c r="K8" s="119">
        <f>населення!K8+льготи!K8+субсидии!K8+'держ.бюджет'!K8+'місц.-район.бюджет'!K8+обласной!K8+'госпрозрахунк.'!K8</f>
        <v>21811.9</v>
      </c>
      <c r="L8" s="117">
        <f>K8/J8*100</f>
        <v>65.93741781213252</v>
      </c>
      <c r="M8" s="103">
        <f>населення!M8+льготи!M8+субсидии!M8+'держ.бюджет'!M8+'місц.-район.бюджет'!M8+обласной!M8+'госпрозрахунк.'!M8</f>
        <v>11267.8</v>
      </c>
      <c r="N8" s="103">
        <f>населення!N8+льготи!N8+субсидии!N8+'держ.бюджет'!N8+'місц.-район.бюджет'!N8+обласной!N8+'госпрозрахунк.'!N8</f>
        <v>40312.13</v>
      </c>
      <c r="O8" s="148"/>
    </row>
    <row r="9" spans="1:14" ht="44.25" customHeight="1">
      <c r="A9" s="105">
        <v>2</v>
      </c>
      <c r="B9" s="149" t="s">
        <v>81</v>
      </c>
      <c r="C9" s="118">
        <f>населення!C9+льготи!C9+субсидии!C9+'держ.бюджет'!C9+'місц.-район.бюджет'!C9+обласной!C9+'госпрозрахунк.'!C9</f>
        <v>-713.6999999999998</v>
      </c>
      <c r="D9" s="119">
        <f>населення!D9+льготи!D9+субсидии!D9+'держ.бюджет'!D9+'місц.-район.бюджет'!D9+обласной!D9+'госпрозрахунк.'!D9</f>
        <v>1849</v>
      </c>
      <c r="E9" s="119">
        <f>населення!E9+льготи!E9+субсидии!E9+'держ.бюджет'!E9+'місц.-район.бюджет'!E9+обласной!E9+'госпрозрахунк.'!E9</f>
        <v>343.7</v>
      </c>
      <c r="F9" s="117">
        <f>E9/D9*100</f>
        <v>18.588426176311522</v>
      </c>
      <c r="G9" s="119">
        <f>населення!G9+льготи!G9+субсидии!G9+'держ.бюджет'!G9+'місц.-район.бюджет'!G9+обласной!G9+'госпрозрахунк.'!G9</f>
        <v>1521.1</v>
      </c>
      <c r="H9" s="119">
        <f>населення!H9+льготи!H9+субсидии!H9+'держ.бюджет'!H9+'місц.-район.бюджет'!H9+обласной!H9+'госпрозрахунк.'!H9</f>
        <v>1324</v>
      </c>
      <c r="I9" s="117">
        <f aca="true" t="shared" si="0" ref="I9:I22">H9/G9*100</f>
        <v>87.04227203997108</v>
      </c>
      <c r="J9" s="119">
        <f>населення!J9+льготи!J9+субсидии!J9+'держ.бюджет'!J9+'місц.-район.бюджет'!J9+обласной!J9+'госпрозрахунк.'!J9</f>
        <v>3370.1000000000004</v>
      </c>
      <c r="K9" s="119">
        <f>населення!K9+льготи!K9+субсидии!K9+'держ.бюджет'!K9+'місц.-район.бюджет'!K9+обласной!K9+'госпрозрахунк.'!K9</f>
        <v>1667.6999999999998</v>
      </c>
      <c r="L9" s="117">
        <f aca="true" t="shared" si="1" ref="L9:L28">K9/J9*100</f>
        <v>49.48517848135069</v>
      </c>
      <c r="M9" s="103">
        <f>населення!M9+льготи!M9+субсидии!M9+'держ.бюджет'!M9+'місц.-район.бюджет'!M9+обласной!M9+'госпрозрахунк.'!M9</f>
        <v>1702.4000000000003</v>
      </c>
      <c r="N9" s="103">
        <f>населення!N9+льготи!N9+субсидии!N9+'держ.бюджет'!N9+'місц.-район.бюджет'!N9+обласной!N9+'госпрозрахунк.'!N9</f>
        <v>988.7</v>
      </c>
    </row>
    <row r="10" spans="1:14" ht="41.25" customHeight="1">
      <c r="A10" s="105">
        <v>3</v>
      </c>
      <c r="B10" s="120" t="s">
        <v>97</v>
      </c>
      <c r="C10" s="118">
        <f>населення!C10+льготи!C10+субсидии!C10+'держ.бюджет'!C10+'місц.-район.бюджет'!C10+обласной!C10+'госпрозрахунк.'!C10</f>
        <v>0</v>
      </c>
      <c r="D10" s="119">
        <f>населення!D10+льготи!D10+субсидии!D10+'держ.бюджет'!D10+'місц.-район.бюджет'!D10+обласной!D10+'госпрозрахунк.'!D10</f>
        <v>0.7</v>
      </c>
      <c r="E10" s="119">
        <f>населення!E10+льготи!E10+субсидии!E10+'держ.бюджет'!E10+'місц.-район.бюджет'!E10+обласной!E10+'госпрозрахунк.'!E10</f>
        <v>0.7</v>
      </c>
      <c r="F10" s="117">
        <f aca="true" t="shared" si="2" ref="F10:F22">E10/D10*100</f>
        <v>100</v>
      </c>
      <c r="G10" s="119">
        <f>населення!G10+льготи!G10+субсидии!G10+'держ.бюджет'!G10+'місц.-район.бюджет'!G10+обласной!G10+'госпрозрахунк.'!G10</f>
        <v>61.1</v>
      </c>
      <c r="H10" s="119">
        <f>населення!H10+льготи!H10+субсидии!H10+'держ.бюджет'!H10+'місц.-район.бюджет'!H10+обласной!H10+'госпрозрахунк.'!H10</f>
        <v>61.1</v>
      </c>
      <c r="I10" s="117">
        <f t="shared" si="0"/>
        <v>100</v>
      </c>
      <c r="J10" s="119">
        <f>населення!J10+льготи!J10+субсидии!J10+'держ.бюджет'!J10+'місц.-район.бюджет'!J10+обласной!J10+'госпрозрахунк.'!J10</f>
        <v>61.800000000000004</v>
      </c>
      <c r="K10" s="119">
        <f>населення!K10+льготи!K10+субсидии!K10+'держ.бюджет'!K10+'місц.-район.бюджет'!K10+обласной!K10+'госпрозрахунк.'!K10</f>
        <v>61.800000000000004</v>
      </c>
      <c r="L10" s="117">
        <f t="shared" si="1"/>
        <v>100</v>
      </c>
      <c r="M10" s="103">
        <f>населення!M10+льготи!M10+субсидии!M10+'держ.бюджет'!M10+'місц.-район.бюджет'!M10+обласной!M10+'госпрозрахунк.'!M10</f>
        <v>0</v>
      </c>
      <c r="N10" s="103">
        <f>населення!N10+льготи!N10+субсидии!N10+'держ.бюджет'!N10+'місц.-район.бюджет'!N10+обласной!N10+'госпрозрахунк.'!N10</f>
        <v>0</v>
      </c>
    </row>
    <row r="11" spans="1:14" ht="24" customHeight="1">
      <c r="A11" s="105">
        <v>4</v>
      </c>
      <c r="B11" s="100" t="s">
        <v>108</v>
      </c>
      <c r="C11" s="118">
        <f>населення!C11+льготи!C11+субсидии!C11+'держ.бюджет'!C11+'місц.-район.бюджет'!C11+обласной!C11+'госпрозрахунк.'!C11</f>
        <v>18.5</v>
      </c>
      <c r="D11" s="119">
        <f>населення!D11+льготи!D11+субсидии!D11+'держ.бюджет'!D11+'місц.-район.бюджет'!D11+обласной!D11+'госпрозрахунк.'!D11</f>
        <v>194.3</v>
      </c>
      <c r="E11" s="119">
        <f>населення!E11+льготи!E11+субсидии!E11+'держ.бюджет'!E11+'місц.-район.бюджет'!E11+обласной!E11+'госпрозрахунк.'!E11</f>
        <v>129.9</v>
      </c>
      <c r="F11" s="117">
        <f t="shared" si="2"/>
        <v>66.85537828100875</v>
      </c>
      <c r="G11" s="119">
        <f>населення!G11+льготи!G11+субсидии!G11+'держ.бюджет'!G11+'місц.-район.бюджет'!G11+обласной!G11+'госпрозрахунк.'!G11</f>
        <v>199.8</v>
      </c>
      <c r="H11" s="119">
        <f>населення!H11+льготи!H11+субсидии!H11+'держ.бюджет'!H11+'місц.-район.бюджет'!H11+обласной!H11+'госпрозрахунк.'!H11</f>
        <v>80.60000000000001</v>
      </c>
      <c r="I11" s="117">
        <f t="shared" si="0"/>
        <v>40.34034034034034</v>
      </c>
      <c r="J11" s="119">
        <f>населення!J11+льготи!J11+субсидии!J11+'держ.бюджет'!J11+'місц.-район.бюджет'!J11+обласной!J11+'госпрозрахунк.'!J11</f>
        <v>394.1000000000001</v>
      </c>
      <c r="K11" s="119">
        <f>населення!K11+льготи!K11+субсидии!K11+'держ.бюджет'!K11+'місц.-район.бюджет'!K11+обласной!K11+'госпрозрахунк.'!K11</f>
        <v>210.5</v>
      </c>
      <c r="L11" s="117">
        <f t="shared" si="1"/>
        <v>53.412839380867794</v>
      </c>
      <c r="M11" s="103">
        <f>населення!M11+льготи!M11+субсидии!M11+'держ.бюджет'!M11+'місц.-район.бюджет'!M11+обласной!M11+'госпрозрахунк.'!M11</f>
        <v>183.60000000000002</v>
      </c>
      <c r="N11" s="103">
        <f>населення!N11+льготи!N11+субсидии!N11+'держ.бюджет'!N11+'місц.-район.бюджет'!N11+обласной!N11+'госпрозрахунк.'!N11</f>
        <v>202.1</v>
      </c>
    </row>
    <row r="12" spans="1:14" ht="24" customHeight="1">
      <c r="A12" s="128">
        <v>5</v>
      </c>
      <c r="B12" s="100" t="s">
        <v>79</v>
      </c>
      <c r="C12" s="118">
        <f>населення!C12+льготи!C12+субсидии!C12+'держ.бюджет'!C12+'місц.-район.бюджет'!C12+обласной!C12+'госпрозрахунк.'!C12</f>
        <v>3709.9</v>
      </c>
      <c r="D12" s="119">
        <f>населення!D12+льготи!D12+субсидии!D12+'держ.бюджет'!D12+'місц.-район.бюджет'!D12+обласной!D12+'госпрозрахунк.'!D12</f>
        <v>4371.099999999999</v>
      </c>
      <c r="E12" s="119">
        <f>населення!E12+льготи!E12+субсидии!E12+'держ.бюджет'!E12+'місц.-район.бюджет'!E12+обласной!E12+'госпрозрахунк.'!E12</f>
        <v>3578.0999999999995</v>
      </c>
      <c r="F12" s="117">
        <f t="shared" si="2"/>
        <v>81.85811351833634</v>
      </c>
      <c r="G12" s="119">
        <f>населення!G12+льготи!G12+субсидии!G12+'держ.бюджет'!G12+'місц.-район.бюджет'!G12+обласной!G12+'госпрозрахунк.'!G12</f>
        <v>3880.5</v>
      </c>
      <c r="H12" s="119">
        <f>населення!H12+льготи!H12+субсидии!H12+'держ.бюджет'!H12+'місц.-район.бюджет'!H12+обласной!H12+'госпрозрахунк.'!H12</f>
        <v>1259.6</v>
      </c>
      <c r="I12" s="117">
        <f t="shared" si="0"/>
        <v>32.45973457028733</v>
      </c>
      <c r="J12" s="119">
        <f>населення!J12+льготи!J12+субсидии!J12+'держ.бюджет'!J12+'місц.-район.бюджет'!J12+обласной!J12+'госпрозрахунк.'!J12</f>
        <v>8251.6</v>
      </c>
      <c r="K12" s="119">
        <f>населення!K12+льготи!K12+субсидии!K12+'держ.бюджет'!K12+'місц.-район.бюджет'!K12+обласной!K12+'госпрозрахунк.'!K12</f>
        <v>4837.7</v>
      </c>
      <c r="L12" s="117">
        <f t="shared" si="1"/>
        <v>58.6274177129284</v>
      </c>
      <c r="M12" s="103">
        <f>населення!M12+льготи!M12+субсидии!M12+'держ.бюджет'!M12+'місц.-район.бюджет'!M12+обласной!M12+'госпрозрахунк.'!M12</f>
        <v>3413.9000000000005</v>
      </c>
      <c r="N12" s="103">
        <f>населення!N12+льготи!N12+субсидии!N12+'держ.бюджет'!N12+'місц.-район.бюджет'!N12+обласной!N12+'госпрозрахунк.'!N12</f>
        <v>7123.8</v>
      </c>
    </row>
    <row r="13" spans="1:14" ht="24" customHeight="1">
      <c r="A13" s="105">
        <v>6</v>
      </c>
      <c r="B13" s="100" t="s">
        <v>51</v>
      </c>
      <c r="C13" s="118">
        <f>населення!C13+льготи!C13+субсидии!C13+'держ.бюджет'!C13+'місц.-район.бюджет'!C13+обласной!C13+'госпрозрахунк.'!C13</f>
        <v>200.1</v>
      </c>
      <c r="D13" s="119">
        <f>населення!D13+льготи!D13+субсидии!D13+'держ.бюджет'!D13+'місц.-район.бюджет'!D13+обласной!D13+'госпрозрахунк.'!D13</f>
        <v>1007.4000000000001</v>
      </c>
      <c r="E13" s="119">
        <f>населення!E13+льготи!E13+субсидии!E13+'держ.бюджет'!E13+'місц.-район.бюджет'!E13+обласной!E13+'госпрозрахунк.'!E13</f>
        <v>72.8</v>
      </c>
      <c r="F13" s="117">
        <f t="shared" si="2"/>
        <v>7.226523724439149</v>
      </c>
      <c r="G13" s="119">
        <f>населення!G13+льготи!G13+субсидии!G13+'держ.бюджет'!G13+'місц.-район.бюджет'!G13+обласной!G13+'госпрозрахунк.'!G13</f>
        <v>815.6999999999999</v>
      </c>
      <c r="H13" s="119">
        <f>населення!H13+льготи!H13+субсидии!H13+'держ.бюджет'!H13+'місц.-район.бюджет'!H13+обласной!H13+'госпрозрахунк.'!H13</f>
        <v>410.00000000000006</v>
      </c>
      <c r="I13" s="117">
        <f t="shared" si="0"/>
        <v>50.26357729557437</v>
      </c>
      <c r="J13" s="119">
        <f>населення!J13+льготи!J13+субсидии!J13+'держ.бюджет'!J13+'місц.-район.бюджет'!J13+обласной!J13+'госпрозрахунк.'!J13</f>
        <v>1823.1</v>
      </c>
      <c r="K13" s="119">
        <f>населення!K13+льготи!K13+субсидии!K13+'держ.бюджет'!K13+'місц.-район.бюджет'!K13+обласной!K13+'госпрозрахунк.'!K13</f>
        <v>482.80000000000007</v>
      </c>
      <c r="L13" s="117">
        <f t="shared" si="1"/>
        <v>26.48236520212825</v>
      </c>
      <c r="M13" s="103">
        <f>населення!M13+льготи!M13+субсидии!M13+'держ.бюджет'!M13+'місц.-район.бюджет'!M13+обласной!M13+'госпрозрахунк.'!M13</f>
        <v>1340.3</v>
      </c>
      <c r="N13" s="103">
        <f>населення!N13+льготи!N13+субсидии!N13+'держ.бюджет'!N13+'місц.-район.бюджет'!N13+обласной!N13+'госпрозрахунк.'!N13</f>
        <v>1540.3999999999999</v>
      </c>
    </row>
    <row r="14" spans="1:14" ht="24" customHeight="1">
      <c r="A14" s="105">
        <v>7</v>
      </c>
      <c r="B14" s="100" t="s">
        <v>52</v>
      </c>
      <c r="C14" s="118">
        <f>населення!C14+льготи!C14+субсидии!C14+'держ.бюджет'!C14+'місц.-район.бюджет'!C14+обласной!C14+'госпрозрахунк.'!C14</f>
        <v>-1.4000000000000001</v>
      </c>
      <c r="D14" s="119">
        <f>населення!D14+льготи!D14+субсидии!D14+'держ.бюджет'!D14+'місц.-район.бюджет'!D14+обласной!D14+'госпрозрахунк.'!D14</f>
        <v>821</v>
      </c>
      <c r="E14" s="119">
        <f>населення!E14+льготи!E14+субсидии!E14+'держ.бюджет'!E14+'місц.-район.бюджет'!E14+обласной!E14+'госпрозрахунк.'!E14</f>
        <v>413</v>
      </c>
      <c r="F14" s="117">
        <f t="shared" si="2"/>
        <v>50.304506699147375</v>
      </c>
      <c r="G14" s="119">
        <f>населення!G14+льготи!G14+субсидии!G14+'держ.бюджет'!G14+'місц.-район.бюджет'!G14+обласной!G14+'госпрозрахунк.'!G14</f>
        <v>868.2</v>
      </c>
      <c r="H14" s="119">
        <f>населення!H14+льготи!H14+субсидии!H14+'держ.бюджет'!H14+'місц.-район.бюджет'!H14+обласной!H14+'госпрозрахунк.'!H14</f>
        <v>683.1999999999999</v>
      </c>
      <c r="I14" s="117">
        <f t="shared" si="0"/>
        <v>78.69154572679105</v>
      </c>
      <c r="J14" s="119">
        <f>населення!J14+льготи!J14+субсидии!J14+'держ.бюджет'!J14+'місц.-район.бюджет'!J14+обласной!J14+'госпрозрахунк.'!J14</f>
        <v>1689.2</v>
      </c>
      <c r="K14" s="119">
        <f>населення!K14+льготи!K14+субсидии!K14+'держ.бюджет'!K14+'місц.-район.бюджет'!K14+обласной!K14+'госпрозрахунк.'!K14</f>
        <v>1096.2</v>
      </c>
      <c r="L14" s="117">
        <f t="shared" si="1"/>
        <v>64.89462467440208</v>
      </c>
      <c r="M14" s="103">
        <f>населення!M14+льготи!M14+субсидии!M14+'держ.бюджет'!M14+'місц.-район.бюджет'!M14+обласной!M14+'госпрозрахунк.'!M14</f>
        <v>593.0000000000001</v>
      </c>
      <c r="N14" s="103">
        <f>населення!N14+льготи!N14+субсидии!N14+'держ.бюджет'!N14+'місц.-район.бюджет'!N14+обласной!N14+'госпрозрахунк.'!N14</f>
        <v>591.6</v>
      </c>
    </row>
    <row r="15" spans="1:14" ht="24" customHeight="1">
      <c r="A15" s="105">
        <v>8</v>
      </c>
      <c r="B15" s="100" t="s">
        <v>53</v>
      </c>
      <c r="C15" s="118">
        <f>населення!C15+льготи!C15+субсидии!C15+'держ.бюджет'!C15+'місц.-район.бюджет'!C15+обласной!C15+'госпрозрахунк.'!C15</f>
        <v>3941.1</v>
      </c>
      <c r="D15" s="119">
        <f>населення!D15+льготи!D15+субсидии!D15+'держ.бюджет'!D15+'місц.-район.бюджет'!D15+обласной!D15+'госпрозрахунк.'!D15</f>
        <v>6460.500000000001</v>
      </c>
      <c r="E15" s="119">
        <f>населення!E15+льготи!E15+субсидии!E15+'держ.бюджет'!E15+'місц.-район.бюджет'!E15+обласной!E15+'госпрозрахунк.'!E15</f>
        <v>2746.4</v>
      </c>
      <c r="F15" s="117">
        <f t="shared" si="2"/>
        <v>42.510641591208106</v>
      </c>
      <c r="G15" s="119">
        <f>населення!G15+льготи!G15+субсидии!G15+'держ.бюджет'!G15+'місц.-район.бюджет'!G15+обласной!G15+'госпрозрахунк.'!G15</f>
        <v>5385.599999999999</v>
      </c>
      <c r="H15" s="119">
        <f>населення!H15+льготи!H15+субсидии!H15+'держ.бюджет'!H15+'місц.-район.бюджет'!H15+обласной!H15+'госпрозрахунк.'!H15</f>
        <v>4628.8</v>
      </c>
      <c r="I15" s="117">
        <f t="shared" si="0"/>
        <v>85.94771241830067</v>
      </c>
      <c r="J15" s="119">
        <f>населення!J15+льготи!J15+субсидии!J15+'держ.бюджет'!J15+'місц.-район.бюджет'!J15+обласной!J15+'госпрозрахунк.'!J15</f>
        <v>11846.099999999999</v>
      </c>
      <c r="K15" s="119">
        <f>населення!K15+льготи!K15+субсидии!K15+'держ.бюджет'!K15+'місц.-район.бюджет'!K15+обласной!K15+'госпрозрахунк.'!K15</f>
        <v>7375.200000000001</v>
      </c>
      <c r="L15" s="117">
        <f t="shared" si="1"/>
        <v>62.25846481120371</v>
      </c>
      <c r="M15" s="103">
        <f>населення!M15+льготи!M15+субсидии!M15+'держ.бюджет'!M15+'місц.-район.бюджет'!M15+обласной!M15+'госпрозрахунк.'!M15</f>
        <v>4470.9</v>
      </c>
      <c r="N15" s="103">
        <f>населення!N15+льготи!N15+субсидии!N15+'держ.бюджет'!N15+'місц.-район.бюджет'!N15+обласной!N15+'госпрозрахунк.'!N15</f>
        <v>8412</v>
      </c>
    </row>
    <row r="16" spans="1:14" ht="24" customHeight="1">
      <c r="A16" s="128">
        <v>9</v>
      </c>
      <c r="B16" s="100" t="s">
        <v>54</v>
      </c>
      <c r="C16" s="118">
        <f>населення!C16+льготи!C16+субсидии!C16+'держ.бюджет'!C16+'місц.-район.бюджет'!C16+обласной!C16+'госпрозрахунк.'!C16</f>
        <v>-128.6</v>
      </c>
      <c r="D16" s="119">
        <f>населення!D16+льготи!D16+субсидии!D16+'держ.бюджет'!D16+'місц.-район.бюджет'!D16+обласной!D16+'госпрозрахунк.'!D16</f>
        <v>1728.6000000000001</v>
      </c>
      <c r="E16" s="119">
        <f>населення!E16+льготи!E16+субсидии!E16+'держ.бюджет'!E16+'місц.-район.бюджет'!E16+обласной!E16+'госпрозрахунк.'!E16</f>
        <v>206.2</v>
      </c>
      <c r="F16" s="117">
        <f t="shared" si="2"/>
        <v>11.928728450769407</v>
      </c>
      <c r="G16" s="119">
        <f>населення!G16+льготи!G16+субсидии!G16+'держ.бюджет'!G16+'місц.-район.бюджет'!G16+обласной!G16+'госпрозрахунк.'!G16</f>
        <v>1705.3999999999999</v>
      </c>
      <c r="H16" s="119">
        <f>населення!H16+льготи!H16+субсидии!H16+'держ.бюджет'!H16+'місц.-район.бюджет'!H16+обласной!H16+'госпрозрахунк.'!H16</f>
        <v>1099.1</v>
      </c>
      <c r="I16" s="117">
        <f t="shared" si="0"/>
        <v>64.44822329072359</v>
      </c>
      <c r="J16" s="119">
        <f>населення!J16+льготи!J16+субсидии!J16+'держ.бюджет'!J16+'місц.-район.бюджет'!J16+обласной!J16+'госпрозрахунк.'!J16</f>
        <v>3434</v>
      </c>
      <c r="K16" s="119">
        <f>населення!K16+льготи!K16+субсидии!K16+'держ.бюджет'!K16+'місц.-район.бюджет'!K16+обласной!K16+'госпрозрахунк.'!K16</f>
        <v>1305.3</v>
      </c>
      <c r="L16" s="117">
        <f t="shared" si="1"/>
        <v>38.0110658124636</v>
      </c>
      <c r="M16" s="103">
        <f>населення!M16+льготи!M16+субсидии!M16+'держ.бюджет'!M16+'місц.-район.бюджет'!M16+обласной!M16+'госпрозрахунк.'!M16</f>
        <v>2128.7</v>
      </c>
      <c r="N16" s="103">
        <f>населення!N16+льготи!N16+субсидии!N16+'держ.бюджет'!N16+'місц.-район.бюджет'!N16+обласной!N16+'госпрозрахунк.'!N16</f>
        <v>2000.1</v>
      </c>
    </row>
    <row r="17" spans="1:14" ht="24" customHeight="1">
      <c r="A17" s="128">
        <v>10</v>
      </c>
      <c r="B17" s="120" t="s">
        <v>55</v>
      </c>
      <c r="C17" s="118">
        <f>населення!C17+льготи!C17+субсидии!C17+'держ.бюджет'!C17+'місц.-район.бюджет'!C17+обласной!C17+'госпрозрахунк.'!C17</f>
        <v>8010.699999999999</v>
      </c>
      <c r="D17" s="119">
        <f>населення!D17+льготи!D17+субсидии!D17+'держ.бюджет'!D17+'місц.-район.бюджет'!D17+обласной!D17+'госпрозрахунк.'!D17</f>
        <v>3167.2999999999997</v>
      </c>
      <c r="E17" s="119">
        <f>населення!E17+льготи!E17+субсидии!E17+'держ.бюджет'!E17+'місц.-район.бюджет'!E17+обласной!E17+'госпрозрахунк.'!E17</f>
        <v>816.6</v>
      </c>
      <c r="F17" s="117">
        <f t="shared" si="2"/>
        <v>25.782211978656903</v>
      </c>
      <c r="G17" s="119">
        <f>населення!G17+льготи!G17+субсидии!G17+'держ.бюджет'!G17+'місц.-район.бюджет'!G17+обласной!G17+'госпрозрахунк.'!G17</f>
        <v>2710.8</v>
      </c>
      <c r="H17" s="119">
        <f>населення!H17+льготи!H17+субсидии!H17+'держ.бюджет'!H17+'місц.-район.бюджет'!H17+обласной!H17+'госпрозрахунк.'!H17</f>
        <v>1654.5</v>
      </c>
      <c r="I17" s="117">
        <f t="shared" si="0"/>
        <v>61.03364320495794</v>
      </c>
      <c r="J17" s="119">
        <f>населення!J17+льготи!J17+субсидии!J17+'держ.бюджет'!J17+'місц.-район.бюджет'!J17+обласной!J17+'госпрозрахунк.'!J17</f>
        <v>5878.1</v>
      </c>
      <c r="K17" s="119">
        <f>населення!K17+льготи!K17+субсидии!K17+'держ.бюджет'!K17+'місц.-район.бюджет'!K17+обласной!K17+'госпрозрахунк.'!K17</f>
        <v>2471.1000000000004</v>
      </c>
      <c r="L17" s="117">
        <f t="shared" si="1"/>
        <v>42.03909426515371</v>
      </c>
      <c r="M17" s="103">
        <f>населення!M17+льготи!M17+субсидии!M17+'держ.бюджет'!M17+'місц.-район.бюджет'!M17+обласной!M17+'госпрозрахунк.'!M17</f>
        <v>3407</v>
      </c>
      <c r="N17" s="103">
        <f>населення!N17+льготи!N17+субсидии!N17+'держ.бюджет'!N17+'місц.-район.бюджет'!N17+обласной!N17+'госпрозрахунк.'!N17</f>
        <v>11417.7</v>
      </c>
    </row>
    <row r="18" spans="1:14" ht="24" customHeight="1">
      <c r="A18" s="128">
        <v>11</v>
      </c>
      <c r="B18" s="120" t="s">
        <v>56</v>
      </c>
      <c r="C18" s="118">
        <f>населення!C18+льготи!C18+субсидии!C18+'держ.бюджет'!C18+'місц.-район.бюджет'!C18+обласной!C18+'госпрозрахунк.'!C18</f>
        <v>114.2</v>
      </c>
      <c r="D18" s="119">
        <f>населення!D18+льготи!D18+субсидии!D18+'держ.бюджет'!D18+'місц.-район.бюджет'!D18+обласной!D18+'госпрозрахунк.'!D18</f>
        <v>714.4</v>
      </c>
      <c r="E18" s="119">
        <f>населення!E18+льготи!E18+субсидии!E18+'держ.бюджет'!E18+'місц.-район.бюджет'!E18+обласной!E18+'госпрозрахунк.'!E18</f>
        <v>336.20000000000005</v>
      </c>
      <c r="F18" s="117">
        <f t="shared" si="2"/>
        <v>47.06047032474805</v>
      </c>
      <c r="G18" s="119">
        <f>населення!G18+льготи!G18+субсидии!G18+'держ.бюджет'!G18+'місц.-район.бюджет'!G18+обласной!G18+'госпрозрахунк.'!G18</f>
        <v>712.5</v>
      </c>
      <c r="H18" s="119">
        <f>населення!H18+льготи!H18+субсидии!H18+'держ.бюджет'!H18+'місц.-район.бюджет'!H18+обласной!H18+'госпрозрахунк.'!H18</f>
        <v>820.5</v>
      </c>
      <c r="I18" s="117">
        <f t="shared" si="0"/>
        <v>115.15789473684211</v>
      </c>
      <c r="J18" s="119">
        <f>населення!J18+льготи!J18+субсидии!J18+'держ.бюджет'!J18+'місц.-район.бюджет'!J18+обласной!J18+'госпрозрахунк.'!J18</f>
        <v>1426.9</v>
      </c>
      <c r="K18" s="119">
        <f>населення!K18+льготи!K18+субсидии!K18+'держ.бюджет'!K18+'місц.-район.бюджет'!K18+обласной!K18+'госпрозрахунк.'!K18</f>
        <v>1156.7000000000003</v>
      </c>
      <c r="L18" s="117">
        <f t="shared" si="1"/>
        <v>81.06384469829702</v>
      </c>
      <c r="M18" s="103">
        <f>населення!M18+льготи!M18+субсидии!M18+'держ.бюджет'!M18+'місц.-район.бюджет'!M18+обласной!M18+'госпрозрахунк.'!M18</f>
        <v>270.1999999999999</v>
      </c>
      <c r="N18" s="103">
        <f>населення!N18+льготи!N18+субсидии!N18+'держ.бюджет'!N18+'місц.-район.бюджет'!N18+обласной!N18+'госпрозрахунк.'!N18</f>
        <v>384.39999999999986</v>
      </c>
    </row>
    <row r="19" spans="1:14" ht="24" customHeight="1">
      <c r="A19" s="128">
        <v>12</v>
      </c>
      <c r="B19" s="100" t="s">
        <v>80</v>
      </c>
      <c r="C19" s="118">
        <f>населення!C19+льготи!C19+субсидии!C19+'держ.бюджет'!C19+'місц.-район.бюджет'!C19+обласной!C19+'госпрозрахунк.'!C19</f>
        <v>3884.2</v>
      </c>
      <c r="D19" s="119">
        <f>населення!D19+льготи!D19+субсидии!D19+'держ.бюджет'!D19+'місц.-район.бюджет'!D19+обласной!D19+'госпрозрахунк.'!D19</f>
        <v>3883.5</v>
      </c>
      <c r="E19" s="119">
        <f>населення!E19+льготи!E19+субсидии!E19+'держ.бюджет'!E19+'місц.-район.бюджет'!E19+обласной!E19+'госпрозрахунк.'!E19</f>
        <v>986.5999999999998</v>
      </c>
      <c r="F19" s="117">
        <f t="shared" si="2"/>
        <v>25.404918243852194</v>
      </c>
      <c r="G19" s="119">
        <f>населення!G19+льготи!G19+субсидии!G19+'держ.бюджет'!G19+'місц.-район.бюджет'!G19+обласной!G19+'госпрозрахунк.'!G19</f>
        <v>4162.4</v>
      </c>
      <c r="H19" s="119">
        <f>населення!H19+льготи!H19+субсидии!H19+'держ.бюджет'!H19+'місц.-район.бюджет'!H19+обласной!H19+'госпрозрахунк.'!H19</f>
        <v>4551.1</v>
      </c>
      <c r="I19" s="117">
        <f t="shared" si="0"/>
        <v>109.3383624831828</v>
      </c>
      <c r="J19" s="119">
        <f>населення!J19+льготи!J19+субсидии!J19+'держ.бюджет'!J19+'місц.-район.бюджет'!J19+обласной!J19+'госпрозрахунк.'!J19</f>
        <v>8045.9</v>
      </c>
      <c r="K19" s="119">
        <f>населення!K19+льготи!K19+субсидии!K19+'держ.бюджет'!K19+'місц.-район.бюджет'!K19+обласной!K19+'госпрозрахунк.'!K19</f>
        <v>5537.700000000001</v>
      </c>
      <c r="L19" s="117">
        <f t="shared" si="1"/>
        <v>68.82635876657677</v>
      </c>
      <c r="M19" s="103">
        <f>населення!M19+льготи!M19+субсидии!M19+'держ.бюджет'!M19+'місц.-район.бюджет'!M19+обласной!M19+'госпрозрахунк.'!M19</f>
        <v>2508.2</v>
      </c>
      <c r="N19" s="103">
        <f>населення!N19+льготи!N19+субсидии!N19+'держ.бюджет'!N19+'місц.-район.бюджет'!N19+обласной!N19+'госпрозрахунк.'!N19</f>
        <v>6392.4</v>
      </c>
    </row>
    <row r="20" spans="1:14" ht="24" customHeight="1">
      <c r="A20" s="105">
        <v>13</v>
      </c>
      <c r="B20" s="120" t="s">
        <v>57</v>
      </c>
      <c r="C20" s="118">
        <f>населення!C20+льготи!C20+субсидии!C20+'держ.бюджет'!C20+'місц.-район.бюджет'!C20+обласной!C20+'госпрозрахунк.'!C20</f>
        <v>-1.7</v>
      </c>
      <c r="D20" s="119">
        <f>населення!D20+льготи!D20+субсидии!D20+'держ.бюджет'!D20+'місц.-район.бюджет'!D20+обласной!D20+'госпрозрахунк.'!D20</f>
        <v>0</v>
      </c>
      <c r="E20" s="119">
        <f>населення!E20+льготи!E20+субсидии!E20+'держ.бюджет'!E20+'місц.-район.бюджет'!E20+обласной!E20+'госпрозрахунк.'!E20</f>
        <v>0</v>
      </c>
      <c r="F20" s="210" t="e">
        <f t="shared" si="2"/>
        <v>#DIV/0!</v>
      </c>
      <c r="G20" s="119">
        <f>населення!G20+льготи!G20+субсидии!G20+'держ.бюджет'!G20+'місц.-район.бюджет'!G20+обласной!G20+'госпрозрахунк.'!G20</f>
        <v>0</v>
      </c>
      <c r="H20" s="119">
        <f>населення!H20+льготи!H20+субсидии!H20+'держ.бюджет'!H20+'місц.-район.бюджет'!H20+обласной!H20+'госпрозрахунк.'!H20</f>
        <v>0</v>
      </c>
      <c r="I20" s="210" t="e">
        <f t="shared" si="0"/>
        <v>#DIV/0!</v>
      </c>
      <c r="J20" s="119">
        <f>населення!J20+льготи!J20+субсидии!J20+'держ.бюджет'!J20+'місц.-район.бюджет'!J20+обласной!J20+'госпрозрахунк.'!J20</f>
        <v>0</v>
      </c>
      <c r="K20" s="119">
        <f>населення!K20+льготи!K20+субсидии!K20+'держ.бюджет'!K20+'місц.-район.бюджет'!K20+обласной!K20+'госпрозрахунк.'!K20</f>
        <v>0</v>
      </c>
      <c r="L20" s="210" t="e">
        <f t="shared" si="1"/>
        <v>#DIV/0!</v>
      </c>
      <c r="M20" s="103">
        <f>населення!M20+льготи!M20+субсидии!M20+'держ.бюджет'!M20+'місц.-район.бюджет'!M20+обласной!M20+'госпрозрахунк.'!M20</f>
        <v>0</v>
      </c>
      <c r="N20" s="103">
        <f>населення!N20+льготи!N20+субсидии!N20+'держ.бюджет'!N20+'місц.-район.бюджет'!N20+обласной!N20+'госпрозрахунк.'!N20</f>
        <v>-1.7</v>
      </c>
    </row>
    <row r="21" spans="1:14" ht="24" customHeight="1">
      <c r="A21" s="128">
        <v>14</v>
      </c>
      <c r="B21" s="120" t="s">
        <v>58</v>
      </c>
      <c r="C21" s="118">
        <f>населення!C21+льготи!C21+субсидии!C21+'держ.бюджет'!C21+'місц.-район.бюджет'!C21+обласной!C21+'госпрозрахунк.'!C21</f>
        <v>-412.5</v>
      </c>
      <c r="D21" s="119">
        <f>населення!D21+льготи!D21+субсидии!D21+'держ.бюджет'!D21+'місц.-район.бюджет'!D21+обласной!D21+'госпрозрахунк.'!D21</f>
        <v>693.5</v>
      </c>
      <c r="E21" s="119">
        <f>населення!E21+льготи!E21+субсидии!E21+'держ.бюджет'!E21+'місц.-район.бюджет'!E21+обласной!E21+'госпрозрахунк.'!E21</f>
        <v>102.6</v>
      </c>
      <c r="F21" s="117">
        <f t="shared" si="2"/>
        <v>14.794520547945206</v>
      </c>
      <c r="G21" s="119">
        <f>населення!G21+льготи!G21+субсидии!G21+'держ.бюджет'!G21+'місц.-район.бюджет'!G21+обласной!G21+'госпрозрахунк.'!G21</f>
        <v>565.4</v>
      </c>
      <c r="H21" s="119">
        <f>населення!H21+льготи!H21+субсидии!H21+'держ.бюджет'!H21+'місц.-район.бюджет'!H21+обласной!H21+'госпрозрахунк.'!H21</f>
        <v>628</v>
      </c>
      <c r="I21" s="117">
        <f t="shared" si="0"/>
        <v>111.07180756986206</v>
      </c>
      <c r="J21" s="119">
        <f>населення!J21+льготи!J21+субсидии!J21+'держ.бюджет'!J21+'місц.-район.бюджет'!J21+обласной!J21+'госпрозрахунк.'!J21</f>
        <v>1258.8999999999999</v>
      </c>
      <c r="K21" s="119">
        <f>населення!K21+льготи!K21+субсидии!K21+'держ.бюджет'!K21+'місц.-район.бюджет'!K21+обласной!K21+'госпрозрахунк.'!K21</f>
        <v>730.6</v>
      </c>
      <c r="L21" s="117">
        <f t="shared" si="1"/>
        <v>58.03479227897371</v>
      </c>
      <c r="M21" s="103">
        <f>населення!M21+льготи!M21+субсидии!M21+'держ.бюджет'!M21+'місц.-район.бюджет'!M21+обласной!M21+'госпрозрахунк.'!M21</f>
        <v>528.3</v>
      </c>
      <c r="N21" s="103">
        <f>населення!N21+льготи!N21+субсидии!N21+'держ.бюджет'!N21+'місц.-район.бюджет'!N21+обласной!N21+'госпрозрахунк.'!N21</f>
        <v>115.79999999999995</v>
      </c>
    </row>
    <row r="22" spans="1:14" ht="30" customHeight="1">
      <c r="A22" s="128">
        <v>15</v>
      </c>
      <c r="B22" s="120" t="s">
        <v>59</v>
      </c>
      <c r="C22" s="118">
        <f>населення!C22+льготи!C22+субсидии!C22+'держ.бюджет'!C22+'місц.-район.бюджет'!C22+обласной!C22+'госпрозрахунк.'!C22</f>
        <v>197.2</v>
      </c>
      <c r="D22" s="119">
        <f>населення!D22+льготи!D22+субсидии!D22+'держ.бюджет'!D22+'місц.-район.бюджет'!D22+обласной!D22+'госпрозрахунк.'!D22</f>
        <v>1536.6999999999998</v>
      </c>
      <c r="E22" s="119">
        <f>населення!E22+льготи!E22+субсидии!E22+'держ.бюджет'!E22+'місц.-район.бюджет'!E22+обласной!E22+'госпрозрахунк.'!E22</f>
        <v>1456.8000000000002</v>
      </c>
      <c r="F22" s="117">
        <f t="shared" si="2"/>
        <v>94.80054662588667</v>
      </c>
      <c r="G22" s="119">
        <f>населення!G22+льготи!G22+субсидии!G22+'держ.бюджет'!G22+'місц.-район.бюджет'!G22+обласной!G22+'госпрозрахунк.'!G22</f>
        <v>1534.7</v>
      </c>
      <c r="H22" s="119">
        <f>населення!H22+льготи!H22+субсидии!H22+'держ.бюджет'!H22+'місц.-район.бюджет'!H22+обласной!H22+'госпрозрахунк.'!H22</f>
        <v>1457.9</v>
      </c>
      <c r="I22" s="117">
        <f t="shared" si="0"/>
        <v>94.99576464455595</v>
      </c>
      <c r="J22" s="119">
        <f>населення!J22+льготи!J22+субсидии!J22+'держ.бюджет'!J22+'місц.-район.бюджет'!J22+обласной!J22+'госпрозрахунк.'!J22</f>
        <v>3071.4</v>
      </c>
      <c r="K22" s="119">
        <f>населення!K22+льготи!K22+субсидии!K22+'держ.бюджет'!K22+'місц.-район.бюджет'!K22+обласной!K22+'госпрозрахунк.'!K22</f>
        <v>2914.7</v>
      </c>
      <c r="L22" s="117">
        <f t="shared" si="1"/>
        <v>94.89809207527512</v>
      </c>
      <c r="M22" s="103">
        <f>населення!M22+льготи!M22+субсидии!M22+'держ.бюджет'!M22+'місц.-район.бюджет'!M22+обласной!M22+'госпрозрахунк.'!M22</f>
        <v>156.69999999999993</v>
      </c>
      <c r="N22" s="103">
        <f>населення!N22+льготи!N22+субсидии!N22+'держ.бюджет'!N22+'місц.-район.бюджет'!N22+обласной!N22+'госпрозрахунк.'!N22</f>
        <v>353.8999999999998</v>
      </c>
    </row>
    <row r="23" spans="1:14" ht="24" customHeight="1">
      <c r="A23" s="128">
        <v>16</v>
      </c>
      <c r="B23" s="120" t="s">
        <v>60</v>
      </c>
      <c r="C23" s="150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6"/>
    </row>
    <row r="24" spans="1:14" ht="27.75" customHeight="1">
      <c r="A24" s="128">
        <v>17</v>
      </c>
      <c r="B24" s="120" t="s">
        <v>61</v>
      </c>
      <c r="C24" s="118">
        <f>населення!C24+льготи!C24+субсидии!C24+'держ.бюджет'!C24+'місц.-район.бюджет'!C24+обласной!C24+'госпрозрахунк.'!C24</f>
        <v>15741.8</v>
      </c>
      <c r="D24" s="119">
        <f>населення!D24+льготи!D24+субсидии!D24+'держ.бюджет'!D24+'місц.-район.бюджет'!D24+обласной!D24+'госпрозрахунк.'!D24</f>
        <v>10888.3</v>
      </c>
      <c r="E24" s="119">
        <f>населення!E24+льготи!E24+субсидии!E24+'держ.бюджет'!E24+'місц.-район.бюджет'!E24+обласной!E24+'госпрозрахунк.'!E24</f>
        <v>11260.6</v>
      </c>
      <c r="F24" s="117">
        <f>E24/D24*100</f>
        <v>103.41926655217068</v>
      </c>
      <c r="G24" s="119">
        <f>населення!G24+льготи!G24+субсидии!G24+'держ.бюджет'!G24+'місц.-район.бюджет'!G24+обласной!G24+'госпрозрахунк.'!G24</f>
        <v>9291.800000000001</v>
      </c>
      <c r="H24" s="119">
        <f>населення!H24+льготи!H24+субсидии!H24+'держ.бюджет'!H24+'місц.-район.бюджет'!H24+обласной!H24+'госпрозрахунк.'!H24</f>
        <v>7653.099999999999</v>
      </c>
      <c r="I24" s="117">
        <f>H24/G24*100</f>
        <v>82.36401988850382</v>
      </c>
      <c r="J24" s="119">
        <f>населення!J24+льготи!J24+субсидии!J24+'держ.бюджет'!J24+'місц.-район.бюджет'!J24+обласной!J24+'госпрозрахунк.'!J24</f>
        <v>20180.100000000002</v>
      </c>
      <c r="K24" s="119">
        <f>населення!K24+льготи!K24+субсидии!K24+'держ.бюджет'!K24+'місц.-район.бюджет'!K24+обласной!K24+'госпрозрахунк.'!K24</f>
        <v>18913.7</v>
      </c>
      <c r="L24" s="117">
        <f t="shared" si="1"/>
        <v>93.72451078042229</v>
      </c>
      <c r="M24" s="103">
        <f>населення!M24+льготи!M24+субсидии!M24+'держ.бюджет'!M24+'місц.-район.бюджет'!M24+обласной!M24+'госпрозрахунк.'!M24</f>
        <v>1266.400000000001</v>
      </c>
      <c r="N24" s="103">
        <f>населення!N24+льготи!N24+субсидии!N24+'держ.бюджет'!N24+'місц.-район.бюджет'!N24+обласной!N24+'госпрозрахунк.'!N24</f>
        <v>17008.2</v>
      </c>
    </row>
    <row r="25" spans="1:14" ht="22.5" customHeight="1">
      <c r="A25" s="128">
        <v>18</v>
      </c>
      <c r="B25" s="100" t="s">
        <v>62</v>
      </c>
      <c r="C25" s="118">
        <f>населення!C25+льготи!C25+субсидии!C25+'держ.бюджет'!C25+'місц.-район.бюджет'!C25+обласной!C25+'госпрозрахунк.'!C25</f>
        <v>-299.2</v>
      </c>
      <c r="D25" s="119">
        <f>населення!D25+льготи!D25+субсидии!D25+'держ.бюджет'!D25+'місц.-район.бюджет'!D25+обласной!D25+'госпрозрахунк.'!D25</f>
        <v>1232.1000000000001</v>
      </c>
      <c r="E25" s="119">
        <f>населення!E25+льготи!E25+субсидии!E25+'держ.бюджет'!E25+'місц.-район.бюджет'!E25+обласной!E25+'госпрозрахунк.'!E25</f>
        <v>290.70000000000005</v>
      </c>
      <c r="F25" s="211">
        <f>E25/D25*100</f>
        <v>23.593864134404676</v>
      </c>
      <c r="G25" s="119">
        <f>населення!G25+льготи!G25+субсидии!G25+'держ.бюджет'!G25+'місц.-район.бюджет'!G25+обласной!G25+'госпрозрахунк.'!G25</f>
        <v>1006.3999999999999</v>
      </c>
      <c r="H25" s="119">
        <f>населення!H25+льготи!H25+субсидии!H25+'держ.бюджет'!H25+'місц.-район.бюджет'!H25+обласной!H25+'госпрозрахунк.'!H25</f>
        <v>736.2</v>
      </c>
      <c r="I25" s="117">
        <f>H25/G25*100</f>
        <v>73.15182829888714</v>
      </c>
      <c r="J25" s="119">
        <f>населення!J25+льготи!J25+субсидии!J25+'держ.бюджет'!J25+'місц.-район.бюджет'!J25+обласной!J25+'госпрозрахунк.'!J25</f>
        <v>2238.5</v>
      </c>
      <c r="K25" s="119">
        <f>населення!K25+льготи!K25+субсидии!K25+'держ.бюджет'!K25+'місц.-район.бюджет'!K25+обласной!K25+'госпрозрахунк.'!K25</f>
        <v>1026.9</v>
      </c>
      <c r="L25" s="117">
        <f t="shared" si="1"/>
        <v>45.87446951083315</v>
      </c>
      <c r="M25" s="103">
        <f>населення!M25+льготи!M25+субсидии!M25+'держ.бюджет'!M25+'місц.-район.бюджет'!M25+обласной!M25+'госпрозрахунк.'!M25</f>
        <v>1211.6000000000001</v>
      </c>
      <c r="N25" s="103">
        <f>населення!N25+льготи!N25+субсидии!N25+'держ.бюджет'!N25+'місц.-район.бюджет'!N25+обласной!N25+'госпрозрахунк.'!N25</f>
        <v>912.4</v>
      </c>
    </row>
    <row r="26" spans="1:14" ht="24.75" customHeight="1">
      <c r="A26" s="128">
        <v>19</v>
      </c>
      <c r="B26" s="120" t="s">
        <v>63</v>
      </c>
      <c r="C26" s="118">
        <f>населення!C26+льготи!C26+субсидии!C26+'держ.бюджет'!C26+'місц.-район.бюджет'!C26+обласной!C26+'госпрозрахунк.'!C26</f>
        <v>2389.9</v>
      </c>
      <c r="D26" s="119">
        <f>населення!D26+льготи!D26+субсидии!D26+'держ.бюджет'!D26+'місц.-район.бюджет'!D26+обласной!D26+'госпрозрахунк.'!D26</f>
        <v>1689.6</v>
      </c>
      <c r="E26" s="119">
        <f>населення!E26+льготи!E26+субсидии!E26+'держ.бюджет'!E26+'місц.-район.бюджет'!E26+обласной!E26+'госпрозрахунк.'!E26</f>
        <v>532.6</v>
      </c>
      <c r="F26" s="117">
        <f>E26/D26*100</f>
        <v>31.52225378787879</v>
      </c>
      <c r="G26" s="119">
        <f>населення!G26+льготи!G26+субсидии!G26+'держ.бюджет'!G26+'місц.-район.бюджет'!G26+обласной!G26+'госпрозрахунк.'!G26</f>
        <v>1383.1</v>
      </c>
      <c r="H26" s="119">
        <f>населення!H26+льготи!H26+субсидии!H26+'держ.бюджет'!H26+'місц.-район.бюджет'!H26+обласной!H26+'госпрозрахунк.'!H26</f>
        <v>1772.6</v>
      </c>
      <c r="I26" s="117">
        <f>H26/G26*100</f>
        <v>128.16137661774277</v>
      </c>
      <c r="J26" s="119">
        <f>населення!J26+льготи!J26+субсидии!J26+'держ.бюджет'!J26+'місц.-район.бюджет'!J26+обласной!J26+'госпрозрахунк.'!J26</f>
        <v>3072.7</v>
      </c>
      <c r="K26" s="119">
        <f>населення!K26+льготи!K26+субсидии!K26+'держ.бюджет'!K26+'місц.-район.бюджет'!K26+обласной!K26+'госпрозрахунк.'!K26</f>
        <v>2305.2</v>
      </c>
      <c r="L26" s="117">
        <f t="shared" si="1"/>
        <v>75.02196765060046</v>
      </c>
      <c r="M26" s="103">
        <f>населення!M26+льготи!M26+субсидии!M26+'держ.бюджет'!M26+'місц.-район.бюджет'!M26+обласной!M26+'госпрозрахунк.'!M26</f>
        <v>767.5000000000002</v>
      </c>
      <c r="N26" s="103">
        <f>населення!N26+льготи!N26+субсидии!N26+'держ.бюджет'!N26+'місц.-район.бюджет'!N26+обласной!N26+'госпрозрахунк.'!N26</f>
        <v>3157.4000000000005</v>
      </c>
    </row>
    <row r="27" spans="1:14" ht="30" customHeight="1">
      <c r="A27" s="128">
        <v>20</v>
      </c>
      <c r="B27" s="120" t="s">
        <v>94</v>
      </c>
      <c r="C27" s="118">
        <f>населення!C27+льготи!C27+субсидии!C27+'держ.бюджет'!C27+'місц.-район.бюджет'!C27+обласной!C27+'госпрозрахунк.'!C27</f>
        <v>6723</v>
      </c>
      <c r="D27" s="119">
        <f>населення!D27+льготи!D27+субсидии!D27+'держ.бюджет'!D27+'місц.-район.бюджет'!D27+обласной!D27+'госпрозрахунк.'!D27</f>
        <v>5169.6</v>
      </c>
      <c r="E27" s="119">
        <f>населення!E27+льготи!E27+субсидии!E27+'держ.бюджет'!E27+'місц.-район.бюджет'!E27+обласной!E27+'госпрозрахунк.'!E27</f>
        <v>5846.999999999999</v>
      </c>
      <c r="F27" s="211">
        <f>E27/D27*100</f>
        <v>113.10352831940574</v>
      </c>
      <c r="G27" s="119">
        <f>населення!G27+льготи!G27+субсидии!G27+'держ.бюджет'!G27+'місц.-район.бюджет'!G27+обласной!G27+'госпрозрахунк.'!G27</f>
        <v>5662.4</v>
      </c>
      <c r="H27" s="119">
        <f>населення!H27+льготи!H27+субсидии!H27+'держ.бюджет'!H27+'місц.-район.бюджет'!H27+обласной!H27+'госпрозрахунк.'!H27</f>
        <v>1534.8</v>
      </c>
      <c r="I27" s="117">
        <f>H27/G27*100</f>
        <v>27.10511443910709</v>
      </c>
      <c r="J27" s="119">
        <f>населення!J27+льготи!J27+субсидии!J27+'держ.бюджет'!J27+'місц.-район.бюджет'!J27+обласной!J27+'госпрозрахунк.'!J27</f>
        <v>10832</v>
      </c>
      <c r="K27" s="119">
        <f>населення!K27+льготи!K27+субсидии!K27+'держ.бюджет'!K27+'місц.-район.бюджет'!K27+обласной!K27+'госпрозрахунк.'!K27</f>
        <v>7381.799999999999</v>
      </c>
      <c r="L27" s="117">
        <f t="shared" si="1"/>
        <v>68.14807976366322</v>
      </c>
      <c r="M27" s="103">
        <f>населення!M27+льготи!M27+субсидии!M27+'держ.бюджет'!M27+'місц.-район.бюджет'!M27+обласной!M27+'госпрозрахунк.'!M27</f>
        <v>3450.2000000000007</v>
      </c>
      <c r="N27" s="103">
        <f>населення!N27+льготи!N27+субсидии!N27+'держ.бюджет'!N27+'місц.-район.бюджет'!N27+обласной!N27+'госпрозрахунк.'!N27</f>
        <v>10173.2</v>
      </c>
    </row>
    <row r="28" spans="1:14" ht="30.75" customHeight="1">
      <c r="A28" s="128">
        <v>21</v>
      </c>
      <c r="B28" s="100" t="s">
        <v>64</v>
      </c>
      <c r="C28" s="118">
        <f>населення!C28+льготи!C28+субсидии!C28+'держ.бюджет'!C28+'місц.-район.бюджет'!C28+обласной!C28+'госпрозрахунк.'!C28</f>
        <v>359</v>
      </c>
      <c r="D28" s="119">
        <f>населення!D28+льготи!D28+субсидии!D28+'держ.бюджет'!D28+'місц.-район.бюджет'!D28+обласной!D28+'госпрозрахунк.'!D28</f>
        <v>3827.4</v>
      </c>
      <c r="E28" s="119">
        <f>населення!E28+льготи!E28+субсидии!E28+'держ.бюджет'!E28+'місц.-район.бюджет'!E28+обласной!E28+'госпрозрахунк.'!E28</f>
        <v>2568.6000000000004</v>
      </c>
      <c r="F28" s="117">
        <f>E28/D28*100</f>
        <v>67.11083241887444</v>
      </c>
      <c r="G28" s="119">
        <f>населення!G28+льготи!G28+субсидии!G28+'держ.бюджет'!G28+'місц.-район.бюджет'!G28+обласной!G28+'госпрозрахунк.'!G28</f>
        <v>2289.2999999999997</v>
      </c>
      <c r="H28" s="119">
        <f>населення!H28+льготи!H28+субсидии!H28+'держ.бюджет'!H28+'місц.-район.бюджет'!H28+обласной!H28+'госпрозрахунк.'!H28</f>
        <v>2955.3</v>
      </c>
      <c r="I28" s="117">
        <f>H28/G28*100</f>
        <v>129.09186214126592</v>
      </c>
      <c r="J28" s="119">
        <f>населення!J28+льготи!J28+субсидии!J28+'держ.бюджет'!J28+'місц.-район.бюджет'!J28+обласной!J28+'госпрозрахунк.'!J28</f>
        <v>6116.700000000001</v>
      </c>
      <c r="K28" s="119">
        <f>населення!K28+льготи!K28+субсидии!K28+'держ.бюджет'!K28+'місц.-район.бюджет'!K28+обласной!K28+'госпрозрахунк.'!K28</f>
        <v>5523.900000000001</v>
      </c>
      <c r="L28" s="117">
        <f t="shared" si="1"/>
        <v>90.30849968120064</v>
      </c>
      <c r="M28" s="103">
        <f>населення!M28+льготи!M28+субсидии!M28+'держ.бюджет'!M28+'місц.-район.бюджет'!M28+обласной!M28+'госпрозрахунк.'!M28</f>
        <v>592.8000000000003</v>
      </c>
      <c r="N28" s="103">
        <f>населення!N28+льготи!N28+субсидии!N28+'держ.бюджет'!N28+'місц.-район.бюджет'!N28+обласной!N28+'госпрозрахунк.'!N28</f>
        <v>951.8000000000006</v>
      </c>
    </row>
    <row r="29" spans="1:14" ht="24.75" customHeight="1">
      <c r="A29" s="128">
        <v>22</v>
      </c>
      <c r="B29" s="100" t="s">
        <v>65</v>
      </c>
      <c r="C29" s="151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24.75" customHeight="1">
      <c r="A30" s="128">
        <v>23</v>
      </c>
      <c r="B30" s="120" t="s">
        <v>66</v>
      </c>
      <c r="C30" s="152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2"/>
    </row>
    <row r="31" spans="1:14" ht="24.75" customHeight="1">
      <c r="A31" s="128">
        <v>24</v>
      </c>
      <c r="B31" s="120" t="s">
        <v>67</v>
      </c>
      <c r="C31" s="15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4"/>
    </row>
    <row r="32" spans="1:14" ht="24.75" customHeight="1">
      <c r="A32" s="128">
        <v>25</v>
      </c>
      <c r="B32" s="120" t="s">
        <v>68</v>
      </c>
      <c r="C32" s="118"/>
      <c r="D32" s="154"/>
      <c r="E32" s="154"/>
      <c r="F32" s="154"/>
      <c r="G32" s="140"/>
      <c r="H32" s="140"/>
      <c r="I32" s="154"/>
      <c r="J32" s="140"/>
      <c r="K32" s="140"/>
      <c r="L32" s="154"/>
      <c r="M32" s="140"/>
      <c r="N32" s="154"/>
    </row>
    <row r="33" spans="1:14" ht="24.75" customHeight="1">
      <c r="A33" s="105"/>
      <c r="B33" s="120" t="s">
        <v>105</v>
      </c>
      <c r="C33" s="132">
        <f>населення!C33+льготи!C33+субсидии!C33+'держ.бюджет'!C33+'місц.-район.бюджет'!C33+обласной!C33+'госпрозрахунк.'!C33</f>
        <v>29320.4</v>
      </c>
      <c r="D33" s="119">
        <f>населення!D33+льготи!D33+субсидии!D33+'держ.бюджет'!D33+'місц.-район.бюджет'!D33+обласной!D33+'госпрозрахунк.'!D33</f>
        <v>22371.2</v>
      </c>
      <c r="E33" s="119">
        <f>населення!E33+льготи!E33+субсидии!E33+'держ.бюджет'!E33+'місц.-район.бюджет'!E33+обласной!E33+'госпрозрахунк.'!E33</f>
        <v>11600.2</v>
      </c>
      <c r="F33" s="117">
        <f>E33/D33*100</f>
        <v>51.853275640108706</v>
      </c>
      <c r="G33" s="119">
        <f>населення!G33+льготи!G33+субсидии!G33+'держ.бюджет'!G33+'місц.-район.бюджет'!G33+обласной!G33+'госпрозрахунк.'!G33</f>
        <v>17710.9</v>
      </c>
      <c r="H33" s="119">
        <f>населення!H33+льготи!H33+субсидии!H33+'держ.бюджет'!H33+'місц.-район.бюджет'!H33+обласной!H33+'госпрозрахунк.'!H33</f>
        <v>14763.599999999999</v>
      </c>
      <c r="I33" s="117">
        <f aca="true" t="shared" si="3" ref="I33:I43">H33/G33*100</f>
        <v>83.3588355193694</v>
      </c>
      <c r="J33" s="119">
        <f>населення!J33+льготи!J33+субсидии!J33+'держ.бюджет'!J33+'місц.-район.бюджет'!J33+обласной!J33+'госпрозрахунк.'!J33</f>
        <v>40082.1</v>
      </c>
      <c r="K33" s="119">
        <f>населення!K33+льготи!K33+субсидии!K33+'держ.бюджет'!K33+'місц.-район.бюджет'!K33+обласной!K33+'госпрозрахунк.'!K33</f>
        <v>26363.799999999996</v>
      </c>
      <c r="L33" s="117">
        <f aca="true" t="shared" si="4" ref="L33:L42">K33/J33*100</f>
        <v>65.77449784317687</v>
      </c>
      <c r="M33" s="119">
        <f>населення!M33+льготи!M33+субсидии!M33+'держ.бюджет'!M33+'місц.-район.бюджет'!M33+обласной!M33+'госпрозрахунк.'!M33</f>
        <v>13718.300000000001</v>
      </c>
      <c r="N33" s="119">
        <f>населення!N33+льготи!N33+субсидии!N33+'держ.бюджет'!N33+'місц.-район.бюджет'!N33+обласной!N33+'госпрозрахунк.'!N33</f>
        <v>43038.700000000004</v>
      </c>
    </row>
    <row r="34" spans="1:14" ht="24.75" customHeight="1">
      <c r="A34" s="128"/>
      <c r="B34" s="120" t="s">
        <v>69</v>
      </c>
      <c r="C34" s="118">
        <f>населення!C34+льготи!C34+субсидии!C34+'держ.бюджет'!C34+'місц.-район.бюджет'!C34+обласной!C34+'госпрозрахунк.'!C34</f>
        <v>20.500000000000007</v>
      </c>
      <c r="D34" s="119">
        <f>населення!D34+льготи!D34+субсидии!D34+'держ.бюджет'!D34+'місц.-район.бюджет'!D34+обласной!D34+'госпрозрахунк.'!D34</f>
        <v>616.4</v>
      </c>
      <c r="E34" s="119">
        <f>населення!E34+льготи!E34+субсидии!E34+'держ.бюджет'!E34+'місц.-район.бюджет'!E34+обласной!E34+'госпрозрахунк.'!E34</f>
        <v>0</v>
      </c>
      <c r="F34" s="117">
        <f aca="true" t="shared" si="5" ref="F34:F43">E34/D34*100</f>
        <v>0</v>
      </c>
      <c r="G34" s="119">
        <f>населення!G34+льготи!G34+субсидии!G34+'держ.бюджет'!G34+'місц.-район.бюджет'!G34+обласной!G34+'госпрозрахунк.'!G34</f>
        <v>908.4</v>
      </c>
      <c r="H34" s="119">
        <f>населення!H34+льготи!H34+субсидии!H34+'держ.бюджет'!H34+'місц.-район.бюджет'!H34+обласной!H34+'госпрозрахунк.'!H34</f>
        <v>100.7</v>
      </c>
      <c r="I34" s="117">
        <f t="shared" si="3"/>
        <v>11.085424922941437</v>
      </c>
      <c r="J34" s="119">
        <f>населення!J34+льготи!J34+субсидии!J34+'держ.бюджет'!J34+'місц.-район.бюджет'!J34+обласной!J34+'госпрозрахунк.'!J34</f>
        <v>1524.8</v>
      </c>
      <c r="K34" s="119">
        <f>населення!K34+льготи!K34+субсидии!K34+'держ.бюджет'!K34+'місц.-район.бюджет'!K34+обласной!K34+'госпрозрахунк.'!K34</f>
        <v>100.7</v>
      </c>
      <c r="L34" s="117">
        <f t="shared" si="4"/>
        <v>6.604144805876181</v>
      </c>
      <c r="M34" s="119">
        <f>населення!M34+льготи!M34+субсидии!M34+'держ.бюджет'!M34+'місц.-район.бюджет'!M34+обласной!M34+'госпрозрахунк.'!M34</f>
        <v>1424.1</v>
      </c>
      <c r="N34" s="119">
        <f>населення!N34+льготи!N34+субсидии!N34+'держ.бюджет'!N34+'місц.-район.бюджет'!N34+обласной!N34+'госпрозрахунк.'!N34</f>
        <v>1444.6</v>
      </c>
    </row>
    <row r="35" spans="1:14" ht="36.75" customHeight="1">
      <c r="A35" s="128">
        <v>26</v>
      </c>
      <c r="B35" s="120" t="s">
        <v>95</v>
      </c>
      <c r="C35" s="118">
        <f>населення!C35+льготи!C35+субсидии!C35+'держ.бюджет'!C35+'місц.-район.бюджет'!C35+обласной!C35+'госпрозрахунк.'!C35</f>
        <v>17205.5</v>
      </c>
      <c r="D35" s="119">
        <f>населення!D35+льготи!D35+субсидии!D35+'держ.бюджет'!D35+'місц.-район.бюджет'!D35+обласной!D35+'госпрозрахунк.'!D35</f>
        <v>6875.499999999999</v>
      </c>
      <c r="E35" s="119">
        <f>населення!E35+льготи!E35+субсидии!E35+'держ.бюджет'!E35+'місц.-район.бюджет'!E35+обласной!E35+'госпрозрахунк.'!E35</f>
        <v>5264.399999999999</v>
      </c>
      <c r="F35" s="117">
        <f t="shared" si="5"/>
        <v>76.56752236201004</v>
      </c>
      <c r="G35" s="119">
        <f>населення!G35+льготи!G35+субсидии!G35+'держ.бюджет'!G35+'місц.-район.бюджет'!G35+обласной!G35+'госпрозрахунк.'!G35</f>
        <v>6399.000000000001</v>
      </c>
      <c r="H35" s="119">
        <f>населення!H35+льготи!H35+субсидии!H35+'держ.бюджет'!H35+'місц.-район.бюджет'!H35+обласной!H35+'госпрозрахунк.'!H35</f>
        <v>2292.6</v>
      </c>
      <c r="I35" s="117">
        <f t="shared" si="3"/>
        <v>35.82747304266291</v>
      </c>
      <c r="J35" s="119">
        <f>населення!J35+льготи!J35+субсидии!J35+'держ.бюджет'!J35+'місц.-район.бюджет'!J35+обласной!J35+'госпрозрахунк.'!J35</f>
        <v>13274.5</v>
      </c>
      <c r="K35" s="119">
        <f>населення!K35+льготи!K35+субсидии!K35+'держ.бюджет'!K35+'місц.-район.бюджет'!K35+обласной!K35+'госпрозрахунк.'!K35</f>
        <v>7557</v>
      </c>
      <c r="L35" s="117">
        <f t="shared" si="4"/>
        <v>56.92869787939282</v>
      </c>
      <c r="M35" s="119">
        <f>населення!M35+льготи!M35+субсидии!M35+'держ.бюджет'!M35+'місц.-район.бюджет'!M35+обласной!M35+'госпрозрахунк.'!M35</f>
        <v>5717.500000000001</v>
      </c>
      <c r="N35" s="119">
        <f>населення!N35+льготи!N35+субсидии!N35+'держ.бюджет'!N35+'місц.-район.бюджет'!N35+обласной!N35+'госпрозрахунк.'!N35</f>
        <v>22923</v>
      </c>
    </row>
    <row r="36" spans="1:14" ht="27.75" customHeight="1">
      <c r="A36" s="128">
        <v>27</v>
      </c>
      <c r="B36" s="100" t="s">
        <v>70</v>
      </c>
      <c r="C36" s="118">
        <f>населення!C36+льготи!C36+субсидии!C36+'держ.бюджет'!C36+'місц.-район.бюджет'!C36+обласной!C36+'госпрозрахунк.'!C36</f>
        <v>-517.4999999999999</v>
      </c>
      <c r="D36" s="119">
        <f>населення!D36+льготи!D36+субсидии!D36+'держ.бюджет'!D36+'місц.-район.бюджет'!D36+обласной!D36+'госпрозрахунк.'!D36</f>
        <v>1930.8999999999999</v>
      </c>
      <c r="E36" s="119">
        <f>населення!E36+льготи!E36+субсидии!E36+'держ.бюджет'!E36+'місц.-район.бюджет'!E36+обласной!E36+'госпрозрахунк.'!E36</f>
        <v>458</v>
      </c>
      <c r="F36" s="117">
        <f t="shared" si="5"/>
        <v>23.719509037236524</v>
      </c>
      <c r="G36" s="119">
        <f>населення!G36+льготи!G36+субсидии!G36+'держ.бюджет'!G36+'місц.-район.бюджет'!G36+обласной!G36+'госпрозрахунк.'!G36</f>
        <v>1613.5</v>
      </c>
      <c r="H36" s="119">
        <f>населення!H36+льготи!H36+субсидии!H36+'держ.бюджет'!H36+'місц.-район.бюджет'!H36+обласной!H36+'госпрозрахунк.'!H36</f>
        <v>1338.9</v>
      </c>
      <c r="I36" s="117">
        <f t="shared" si="3"/>
        <v>82.98109699411218</v>
      </c>
      <c r="J36" s="119">
        <f>населення!J36+льготи!J36+субсидии!J36+'держ.бюджет'!J36+'місц.-район.бюджет'!J36+обласной!J36+'госпрозрахунк.'!J36</f>
        <v>3544.4000000000005</v>
      </c>
      <c r="K36" s="119">
        <f>населення!K36+льготи!K36+субсидии!K36+'держ.бюджет'!K36+'місц.-район.бюджет'!K36+обласной!K36+'госпрозрахунк.'!K36</f>
        <v>1796.9</v>
      </c>
      <c r="L36" s="117">
        <f t="shared" si="4"/>
        <v>50.69687394199299</v>
      </c>
      <c r="M36" s="119">
        <f>населення!M36+льготи!M36+субсидии!M36+'держ.бюджет'!M36+'місц.-район.бюджет'!M36+обласной!M36+'госпрозрахунк.'!M36</f>
        <v>1747.5000000000005</v>
      </c>
      <c r="N36" s="119">
        <f>населення!N36+льготи!N36+субсидии!N36+'держ.бюджет'!N36+'місц.-район.бюджет'!N36+обласной!N36+'госпрозрахунк.'!N36</f>
        <v>1230.0000000000002</v>
      </c>
    </row>
    <row r="37" spans="1:14" ht="24.75" customHeight="1">
      <c r="A37" s="128">
        <v>28</v>
      </c>
      <c r="B37" s="120" t="s">
        <v>71</v>
      </c>
      <c r="C37" s="118">
        <f>населення!C37+льготи!C37+субсидии!C37+'держ.бюджет'!C37+'місц.-район.бюджет'!C37+обласной!C37+'госпрозрахунк.'!C37</f>
        <v>31015.4</v>
      </c>
      <c r="D37" s="119">
        <f>населення!D37+льготи!D37+субсидии!D37+'держ.бюджет'!D37+'місц.-район.бюджет'!D37+обласной!D37+'госпрозрахунк.'!D37</f>
        <v>18473.8</v>
      </c>
      <c r="E37" s="119">
        <f>населення!E37+льготи!E37+субсидии!E37+'держ.бюджет'!E37+'місц.-район.бюджет'!E37+обласной!E37+'госпрозрахунк.'!E37</f>
        <v>18627.5</v>
      </c>
      <c r="F37" s="117">
        <f t="shared" si="5"/>
        <v>100.83198908724789</v>
      </c>
      <c r="G37" s="119">
        <f>населення!G37+льготи!G37+субсидии!G37+'держ.бюджет'!G37+'місц.-район.бюджет'!G37+обласной!G37+'госпрозрахунк.'!G37</f>
        <v>16795.8</v>
      </c>
      <c r="H37" s="119">
        <f>населення!H37+льготи!H37+субсидии!H37+'держ.бюджет'!H37+'місц.-район.бюджет'!H37+обласной!H37+'госпрозрахунк.'!H37</f>
        <v>15374.199999999999</v>
      </c>
      <c r="I37" s="117">
        <f t="shared" si="3"/>
        <v>91.53597923290346</v>
      </c>
      <c r="J37" s="119">
        <f>населення!J37+льготи!J37+субсидии!J37+'держ.бюджет'!J37+'місц.-район.бюджет'!J37+обласной!J37+'госпрозрахунк.'!J37</f>
        <v>35269.6</v>
      </c>
      <c r="K37" s="119">
        <f>населення!K37+льготи!K37+субсидии!K37+'держ.бюджет'!K37+'місц.-район.бюджет'!K37+обласной!K37+'госпрозрахунк.'!K37</f>
        <v>34001.70000000001</v>
      </c>
      <c r="L37" s="117">
        <f t="shared" si="4"/>
        <v>96.40511942295919</v>
      </c>
      <c r="M37" s="119">
        <f>населення!M37+льготи!M37+субсидии!M37+'держ.бюджет'!M37+'місц.-район.бюджет'!M37+обласной!M37+'госпрозрахунк.'!M37</f>
        <v>1267.8999999999958</v>
      </c>
      <c r="N37" s="119">
        <f>населення!N37+льготи!N37+субсидии!N37+'держ.бюджет'!N37+'місц.-район.бюджет'!N37+обласной!N37+'госпрозрахунк.'!N37</f>
        <v>32283.299999999996</v>
      </c>
    </row>
    <row r="38" spans="1:14" ht="22.5" customHeight="1">
      <c r="A38" s="128">
        <v>29</v>
      </c>
      <c r="B38" s="120" t="s">
        <v>72</v>
      </c>
      <c r="C38" s="118">
        <f>населення!C38+льготи!C38+субсидии!C38+'держ.бюджет'!C38+'місц.-район.бюджет'!C38+обласной!C38+'госпрозрахунк.'!C38</f>
        <v>23473.1</v>
      </c>
      <c r="D38" s="119">
        <f>населення!D38+льготи!D38+субсидии!D38+'держ.бюджет'!D38+'місц.-район.бюджет'!D38+обласной!D38+'госпрозрахунк.'!D38</f>
        <v>15256.199999999999</v>
      </c>
      <c r="E38" s="119">
        <f>населення!E38+льготи!E38+субсидии!E38+'держ.бюджет'!E38+'місц.-район.бюджет'!E38+обласной!E38+'госпрозрахунк.'!E38</f>
        <v>5945.6</v>
      </c>
      <c r="F38" s="117">
        <f t="shared" si="5"/>
        <v>38.971696752795594</v>
      </c>
      <c r="G38" s="119">
        <f>населення!G38+льготи!G38+субсидии!G38+'держ.бюджет'!G38+'місц.-район.бюджет'!G38+обласной!G38+'госпрозрахунк.'!G38</f>
        <v>16376.7</v>
      </c>
      <c r="H38" s="119">
        <f>населення!H38+льготи!H38+субсидии!H38+'держ.бюджет'!H38+'місц.-район.бюджет'!H38+обласной!H38+'госпрозрахунк.'!H38</f>
        <v>7202.6</v>
      </c>
      <c r="I38" s="117">
        <f t="shared" si="3"/>
        <v>43.98077756813033</v>
      </c>
      <c r="J38" s="119">
        <f>населення!J38+льготи!J38+субсидии!J38+'держ.бюджет'!J38+'місц.-район.бюджет'!J38+обласной!J38+'госпрозрахунк.'!J38</f>
        <v>31632.900000000005</v>
      </c>
      <c r="K38" s="119">
        <f>населення!K38+льготи!K38+субсидии!K38+'держ.бюджет'!K38+'місц.-район.бюджет'!K38+обласной!K38+'госпрозрахунк.'!K38</f>
        <v>13148.2</v>
      </c>
      <c r="L38" s="117">
        <f t="shared" si="4"/>
        <v>41.56495294456088</v>
      </c>
      <c r="M38" s="119">
        <f>населення!M38+льготи!M38+субсидии!M38+'держ.бюджет'!M38+'місц.-район.бюджет'!M38+обласной!M38+'госпрозрахунк.'!M38</f>
        <v>18484.7</v>
      </c>
      <c r="N38" s="119">
        <f>населення!N38+льготи!N38+субсидии!N38+'держ.бюджет'!N38+'місц.-район.бюджет'!N38+обласной!N38+'госпрозрахунк.'!N38</f>
        <v>41957.799999999996</v>
      </c>
    </row>
    <row r="39" spans="1:14" ht="27.75" customHeight="1">
      <c r="A39" s="128">
        <v>30</v>
      </c>
      <c r="B39" s="120" t="s">
        <v>96</v>
      </c>
      <c r="C39" s="118">
        <f>населення!C39+льготи!C39+субсидии!C39+'держ.бюджет'!C39+'місц.-район.бюджет'!C39+обласной!C39+'госпрозрахунк.'!C39</f>
        <v>88302</v>
      </c>
      <c r="D39" s="119">
        <f>населення!D39+льготи!D39+субсидии!D39+'держ.бюджет'!D39+'місц.-район.бюджет'!D39+обласной!D39+'госпрозрахунк.'!D39</f>
        <v>43186.9</v>
      </c>
      <c r="E39" s="119">
        <f>населення!E39+льготи!E39+субсидии!E39+'держ.бюджет'!E39+'місц.-район.бюджет'!E39+обласной!E39+'госпрозрахунк.'!E39</f>
        <v>40535.100000000006</v>
      </c>
      <c r="F39" s="117">
        <f t="shared" si="5"/>
        <v>93.85971208861947</v>
      </c>
      <c r="G39" s="119">
        <f>населення!G39+льготи!G39+субсидии!G39+'держ.бюджет'!G39+'місц.-район.бюджет'!G39+обласной!G39+'госпрозрахунк.'!G39</f>
        <v>45315.700000000004</v>
      </c>
      <c r="H39" s="119">
        <f>населення!H39+льготи!H39+субсидии!H39+'держ.бюджет'!H39+'місц.-район.бюджет'!H39+обласной!H39+'госпрозрахунк.'!H39</f>
        <v>39846.9</v>
      </c>
      <c r="I39" s="117">
        <f t="shared" si="3"/>
        <v>87.93177640420427</v>
      </c>
      <c r="J39" s="119">
        <f>населення!J39+льготи!J39+субсидии!J39+'держ.бюджет'!J39+'місц.-район.бюджет'!J39+обласной!J39+'госпрозрахунк.'!J39</f>
        <v>88502.59999999999</v>
      </c>
      <c r="K39" s="119">
        <f>населення!K39+льготи!K39+субсидии!K39+'держ.бюджет'!K39+'місц.-район.бюджет'!K39+обласной!K39+'госпрозрахунк.'!K39</f>
        <v>80382</v>
      </c>
      <c r="L39" s="117">
        <f t="shared" si="4"/>
        <v>90.82445035513082</v>
      </c>
      <c r="M39" s="119">
        <f>населення!M39+льготи!M39+субсидии!M39+'держ.бюджет'!M39+'місц.-район.бюджет'!M39+обласной!M39+'госпрозрахунк.'!M39</f>
        <v>8120.6</v>
      </c>
      <c r="N39" s="119">
        <f>населення!N39+льготи!N39+субсидии!N39+'держ.бюджет'!N39+'місц.-район.бюджет'!N39+обласной!N39+'госпрозрахунк.'!N39</f>
        <v>96422.59999999999</v>
      </c>
    </row>
    <row r="40" spans="1:14" ht="24.75" customHeight="1">
      <c r="A40" s="128">
        <v>31</v>
      </c>
      <c r="B40" s="120" t="s">
        <v>73</v>
      </c>
      <c r="C40" s="118">
        <f>населення!C40+льготи!C40+субсидии!C40+'держ.бюджет'!C40+'місц.-район.бюджет'!C40+обласной!C40+'госпрозрахунк.'!C40</f>
        <v>251.69999999999996</v>
      </c>
      <c r="D40" s="119">
        <f>населення!D40+льготи!D40+субсидии!D40+'держ.бюджет'!D40+'місц.-район.бюджет'!D40+обласной!D40+'госпрозрахунк.'!D40</f>
        <v>508.5</v>
      </c>
      <c r="E40" s="119">
        <f>населення!E40+льготи!E40+субсидии!E40+'держ.бюджет'!E40+'місц.-район.бюджет'!E40+обласной!E40+'госпрозрахунк.'!E40</f>
        <v>89.4</v>
      </c>
      <c r="F40" s="117">
        <f t="shared" si="5"/>
        <v>17.5811209439528</v>
      </c>
      <c r="G40" s="119">
        <f>населення!G40+льготи!G40+субсидии!G40+'держ.бюджет'!G40+'місц.-район.бюджет'!G40+обласной!G40+'госпрозрахунк.'!G40</f>
        <v>388.4</v>
      </c>
      <c r="H40" s="119">
        <f>населення!H40+льготи!H40+субсидии!H40+'держ.бюджет'!H40+'місц.-район.бюджет'!H40+обласной!H40+'госпрозрахунк.'!H40</f>
        <v>142</v>
      </c>
      <c r="I40" s="117">
        <f t="shared" si="3"/>
        <v>36.560247167868184</v>
      </c>
      <c r="J40" s="119">
        <f>населення!J40+льготи!J40+субсидии!J40+'держ.бюджет'!J40+'місц.-район.бюджет'!J40+обласной!J40+'госпрозрахунк.'!J40</f>
        <v>896.9</v>
      </c>
      <c r="K40" s="119">
        <f>населення!K40+льготи!K40+субсидии!K40+'держ.бюджет'!K40+'місц.-район.бюджет'!K40+обласной!K40+'госпрозрахунк.'!K40</f>
        <v>231.4</v>
      </c>
      <c r="L40" s="117">
        <f t="shared" si="4"/>
        <v>25.79997770097001</v>
      </c>
      <c r="M40" s="119">
        <f>населення!M40+льготи!M40+субсидии!M40+'держ.бюджет'!M40+'місц.-район.бюджет'!M40+обласной!M40+'госпрозрахунк.'!M40</f>
        <v>665.5</v>
      </c>
      <c r="N40" s="119">
        <f>населення!N40+льготи!N40+субсидии!N40+'держ.бюджет'!N40+'місц.-район.бюджет'!N40+обласной!N40+'госпрозрахунк.'!N40</f>
        <v>917.2</v>
      </c>
    </row>
    <row r="41" spans="1:14" ht="27.75" customHeight="1">
      <c r="A41" s="128">
        <v>32</v>
      </c>
      <c r="B41" s="100" t="s">
        <v>74</v>
      </c>
      <c r="C41" s="118">
        <f>населення!C41+льготи!C41+субсидии!C41+'держ.бюджет'!C41+'місц.-район.бюджет'!C41+обласной!C41+'госпрозрахунк.'!C41</f>
        <v>40174.3</v>
      </c>
      <c r="D41" s="119">
        <f>населення!D41+льготи!D41+субсидии!D41+'держ.бюджет'!D41+'місц.-район.бюджет'!D41+обласной!D41+'госпрозрахунк.'!D41</f>
        <v>18154.2</v>
      </c>
      <c r="E41" s="119">
        <f>населення!E41+льготи!E41+субсидии!E41+'держ.бюджет'!E41+'місц.-район.бюджет'!E41+обласной!E41+'госпрозрахунк.'!E41</f>
        <v>20159.9</v>
      </c>
      <c r="F41" s="117">
        <f t="shared" si="5"/>
        <v>111.04813211267917</v>
      </c>
      <c r="G41" s="119">
        <f>населення!G41+льготи!G41+субсидии!G41+'держ.бюджет'!G41+'місц.-район.бюджет'!G41+обласной!G41+'госпрозрахунк.'!G41</f>
        <v>17092.100000000002</v>
      </c>
      <c r="H41" s="119">
        <f>населення!H41+льготи!H41+субсидии!H41+'держ.бюджет'!H41+'місц.-район.бюджет'!H41+обласной!H41+'госпрозрахунк.'!H41</f>
        <v>18221.199999999997</v>
      </c>
      <c r="I41" s="117">
        <f t="shared" si="3"/>
        <v>106.60597586019269</v>
      </c>
      <c r="J41" s="119">
        <f>населення!J41+льготи!J41+субсидии!J41+'держ.бюджет'!J41+'місц.-район.бюджет'!J41+обласной!J41+'госпрозрахунк.'!J41</f>
        <v>35246.3</v>
      </c>
      <c r="K41" s="119">
        <f>населення!K41+льготи!K41+субсидии!K41+'держ.бюджет'!K41+'місц.-район.бюджет'!K41+обласной!K41+'госпрозрахунк.'!K41</f>
        <v>38381.09999999999</v>
      </c>
      <c r="L41" s="117">
        <f t="shared" si="4"/>
        <v>108.89398319823638</v>
      </c>
      <c r="M41" s="119">
        <f>населення!M41+льготи!M41+субсидии!M41+'держ.бюджет'!M41+'місц.-район.бюджет'!M41+обласной!M41+'госпрозрахунк.'!M41</f>
        <v>-3134.7999999999975</v>
      </c>
      <c r="N41" s="119">
        <f>населення!N41+льготи!N41+субсидии!N41+'держ.бюджет'!N41+'місц.-район.бюджет'!N41+обласной!N41+'госпрозрахунк.'!N41</f>
        <v>37039.50000000001</v>
      </c>
    </row>
    <row r="42" spans="1:14" ht="24.75" customHeight="1">
      <c r="A42" s="128">
        <v>33</v>
      </c>
      <c r="B42" s="120" t="s">
        <v>75</v>
      </c>
      <c r="C42" s="118">
        <f>населення!C42+льготи!C42+субсидии!C42+'держ.бюджет'!C42+'місц.-район.бюджет'!C42+обласной!C42+'госпрозрахунк.'!C42</f>
        <v>23090.5</v>
      </c>
      <c r="D42" s="119">
        <f>населення!D42+льготи!D42+субсидии!D42+'держ.бюджет'!D42+'місц.-район.бюджет'!D42+обласной!D42+'госпрозрахунк.'!D42</f>
        <v>17300.1</v>
      </c>
      <c r="E42" s="119">
        <f>населення!E42+льготи!E42+субсидии!E42+'держ.бюджет'!E42+'місц.-район.бюджет'!E42+обласной!E42+'госпрозрахунк.'!E42</f>
        <v>18549.2</v>
      </c>
      <c r="F42" s="117">
        <f t="shared" si="5"/>
        <v>107.22018947867356</v>
      </c>
      <c r="G42" s="119">
        <f>населення!G42+льготи!G42+субсидии!G42+'держ.бюджет'!G42+'місц.-район.бюджет'!G42+обласной!G42+'госпрозрахунк.'!G42</f>
        <v>16075.300000000001</v>
      </c>
      <c r="H42" s="119">
        <f>населення!H42+льготи!H42+субсидии!H42+'держ.бюджет'!H42+'місц.-район.бюджет'!H42+обласной!H42+'госпрозрахунк.'!H42</f>
        <v>13326.3</v>
      </c>
      <c r="I42" s="117">
        <f t="shared" si="3"/>
        <v>82.89923049647595</v>
      </c>
      <c r="J42" s="119">
        <f>населення!J42+льготи!J42+субсидии!J42+'держ.бюджет'!J42+'місц.-район.бюджет'!J42+обласной!J42+'госпрозрахунк.'!J42</f>
        <v>33375.399999999994</v>
      </c>
      <c r="K42" s="119">
        <f>населення!K42+льготи!K42+субсидии!K42+'держ.бюджет'!K42+'місц.-район.бюджет'!K42+обласной!K42+'госпрозрахунк.'!K42</f>
        <v>31875.499999999996</v>
      </c>
      <c r="L42" s="117">
        <f t="shared" si="4"/>
        <v>95.50597146401242</v>
      </c>
      <c r="M42" s="119">
        <f>населення!M42+льготи!M42+субсидии!M42+'держ.бюджет'!M42+'місц.-район.бюджет'!M42+обласной!M42+'госпрозрахунк.'!M42</f>
        <v>1499.899999999998</v>
      </c>
      <c r="N42" s="119">
        <f>населення!N42+льготи!N42+субсидии!N42+'держ.бюджет'!N42+'місц.-район.бюджет'!N42+обласной!N42+'госпрозрахунк.'!N42</f>
        <v>24590.39999999999</v>
      </c>
    </row>
    <row r="43" spans="1:18" s="108" customFormat="1" ht="24.75" customHeight="1">
      <c r="A43" s="121">
        <v>34</v>
      </c>
      <c r="B43" s="122" t="s">
        <v>76</v>
      </c>
      <c r="C43" s="116">
        <f>SUM(C44:C45)</f>
        <v>2110471.4</v>
      </c>
      <c r="D43" s="103">
        <f>SUM(D44:D45)</f>
        <v>1037913</v>
      </c>
      <c r="E43" s="103">
        <f>SUM(E44:E45)</f>
        <v>748631.8</v>
      </c>
      <c r="F43" s="117">
        <f t="shared" si="5"/>
        <v>72.12856954291931</v>
      </c>
      <c r="G43" s="103">
        <f>SUM(G44:G45)</f>
        <v>1012451.5</v>
      </c>
      <c r="H43" s="103">
        <f>SUM(H44:H45)</f>
        <v>583798.8</v>
      </c>
      <c r="I43" s="117">
        <f t="shared" si="3"/>
        <v>57.66190281707322</v>
      </c>
      <c r="J43" s="103">
        <f>SUM(J44:J45)</f>
        <v>2050364.5</v>
      </c>
      <c r="K43" s="103">
        <f>SUM(K44:K45)</f>
        <v>1332430.6</v>
      </c>
      <c r="L43" s="117">
        <f>K43/J43*100</f>
        <v>64.98505997348278</v>
      </c>
      <c r="M43" s="103">
        <f>SUM(M44:M45)</f>
        <v>717933.9</v>
      </c>
      <c r="N43" s="103">
        <f>SUM(N44:N45)</f>
        <v>2828405.3</v>
      </c>
      <c r="O43" s="138">
        <f>D43+G43</f>
        <v>2050364.5</v>
      </c>
      <c r="P43" s="138">
        <f>E43+H43</f>
        <v>1332430.6</v>
      </c>
      <c r="Q43" s="138">
        <f>O43-P43</f>
        <v>717933.8999999999</v>
      </c>
      <c r="R43" s="138">
        <f>C43+O43-P43</f>
        <v>2828405.3</v>
      </c>
    </row>
    <row r="44" spans="1:15" s="108" customFormat="1" ht="25.5" customHeight="1">
      <c r="A44" s="121"/>
      <c r="B44" s="100" t="s">
        <v>77</v>
      </c>
      <c r="C44" s="118">
        <f>населення!C44+льготи!C44+субсидии!C44+'держ.бюджет'!C44+'місц.-район.бюджет'!C44+обласной!C44+'госпрозрахунк.'!C44</f>
        <v>2111623</v>
      </c>
      <c r="D44" s="119">
        <f>населення!D44+льготи!D44+субсидии!D44+'держ.бюджет'!D44+'місц.-район.бюджет'!D44+обласной!D44+'госпрозрахунк.'!D44</f>
        <v>1032138</v>
      </c>
      <c r="E44" s="119">
        <f>населення!E44+льготи!E44+субсидии!E44+'держ.бюджет'!E44+'місц.-район.бюджет'!E44+обласной!E44+'госпрозрахунк.'!E44</f>
        <v>747847</v>
      </c>
      <c r="F44" s="117">
        <f>E44/D44*100</f>
        <v>72.45610567579142</v>
      </c>
      <c r="G44" s="119">
        <f>населення!G44+льготи!G44+субсидии!G44+'держ.бюджет'!G44+'місц.-район.бюджет'!G44+обласной!G44+'госпрозрахунк.'!G44</f>
        <v>1005924</v>
      </c>
      <c r="H44" s="119">
        <f>населення!H44+льготи!H44+субсидии!H44+'держ.бюджет'!H44+'місц.-район.бюджет'!H44+обласной!H44+'госпрозрахунк.'!H44</f>
        <v>579662</v>
      </c>
      <c r="I44" s="117">
        <f>H44/G44*100</f>
        <v>57.62483050409375</v>
      </c>
      <c r="J44" s="119">
        <f>населення!J44+льготи!J44+субсидии!J44+'держ.бюджет'!J44+'місц.-район.бюджет'!J44+обласной!J44+'госпрозрахунк.'!J44</f>
        <v>2038062</v>
      </c>
      <c r="K44" s="119">
        <f>населення!K44+льготи!K44+субсидии!K44+'держ.бюджет'!K44+'місц.-район.бюджет'!K44+обласной!K44+'госпрозрахунк.'!K44</f>
        <v>1327509</v>
      </c>
      <c r="L44" s="117">
        <f>K44/J44*100</f>
        <v>65.13584964539842</v>
      </c>
      <c r="M44" s="119">
        <f>населення!M44+льготи!M44+субсидии!M44+'держ.бюджет'!M44+'місц.-район.бюджет'!M44+обласной!M44+'госпрозрахунк.'!M44</f>
        <v>710553</v>
      </c>
      <c r="N44" s="119">
        <f>населення!N44+льготи!N44+субсидии!N44+'держ.бюджет'!N44+'місц.-район.бюджет'!N44+обласной!N44+'госпрозрахунк.'!N44</f>
        <v>2822176</v>
      </c>
      <c r="O44" s="104"/>
    </row>
    <row r="45" spans="1:15" s="108" customFormat="1" ht="24.75" customHeight="1">
      <c r="A45" s="155"/>
      <c r="B45" s="100" t="s">
        <v>69</v>
      </c>
      <c r="C45" s="118">
        <f>населення!C45+льготи!C45+субсидии!C45+'держ.бюджет'!C45+'місц.-район.бюджет'!C45+обласной!C45+'госпрозрахунк.'!C45</f>
        <v>-1151.6</v>
      </c>
      <c r="D45" s="119">
        <f>населення!D45+льготи!D45+субсидии!D45+'держ.бюджет'!D45+'місц.-район.бюджет'!D45+обласной!D45+'госпрозрахунк.'!D45</f>
        <v>5775</v>
      </c>
      <c r="E45" s="119">
        <f>населення!E45+льготи!E45+субсидии!E45+'держ.бюджет'!E45+'місц.-район.бюджет'!E45+обласной!E45+'госпрозрахунк.'!E45</f>
        <v>784.8</v>
      </c>
      <c r="F45" s="117">
        <f>E45/D45*100</f>
        <v>13.589610389610387</v>
      </c>
      <c r="G45" s="119">
        <f>населення!G45+льготи!G45+субсидии!G45+'держ.бюджет'!G45+'місц.-район.бюджет'!G45+обласной!G45+'госпрозрахунк.'!G45</f>
        <v>6527.5</v>
      </c>
      <c r="H45" s="119">
        <f>населення!H45+льготи!H45+субсидии!H45+'держ.бюджет'!H45+'місц.-район.бюджет'!H45+обласной!H45+'госпрозрахунк.'!H45</f>
        <v>4136.8</v>
      </c>
      <c r="I45" s="117">
        <f>H45/G45*100</f>
        <v>63.37495212562237</v>
      </c>
      <c r="J45" s="119">
        <f>населення!J45+льготи!J45+субсидии!J45+'держ.бюджет'!J45+'місц.-район.бюджет'!J45+обласной!J45+'госпрозрахунк.'!J45</f>
        <v>12302.5</v>
      </c>
      <c r="K45" s="119">
        <f>населення!K45+льготи!K45+субсидии!K45+'держ.бюджет'!K45+'місц.-район.бюджет'!K45+обласной!K45+'госпрозрахунк.'!K45</f>
        <v>4921.6</v>
      </c>
      <c r="L45" s="117">
        <f>K45/J45*100</f>
        <v>40.004877057508644</v>
      </c>
      <c r="M45" s="119">
        <f>населення!M45+льготи!M45+субсидии!M45+'держ.бюджет'!M45+'місц.-район.бюджет'!M45+обласной!M45+'госпрозрахунк.'!M45</f>
        <v>7380.900000000001</v>
      </c>
      <c r="N45" s="119">
        <f>населення!N45+льготи!N45+субсидии!N45+'держ.бюджет'!N45+'місц.-район.бюджет'!N45+обласной!N45+'госпрозрахунк.'!N45</f>
        <v>6229.300000000001</v>
      </c>
      <c r="O45" s="104"/>
    </row>
    <row r="46" spans="1:18" s="108" customFormat="1" ht="24.75" customHeight="1">
      <c r="A46" s="121"/>
      <c r="B46" s="122" t="s">
        <v>78</v>
      </c>
      <c r="C46" s="116">
        <f>C7+C43</f>
        <v>2435584.13</v>
      </c>
      <c r="D46" s="103">
        <f>D7+D43</f>
        <v>1248951.3</v>
      </c>
      <c r="E46" s="103">
        <f>E7+E43</f>
        <v>913981</v>
      </c>
      <c r="F46" s="117">
        <f>E46/D46*100</f>
        <v>73.17987498791986</v>
      </c>
      <c r="G46" s="103">
        <f>G7+G43</f>
        <v>1210833.6</v>
      </c>
      <c r="H46" s="103">
        <f>H7+H43</f>
        <v>739099.3</v>
      </c>
      <c r="I46" s="117">
        <f>H46/G46*100</f>
        <v>61.040534388870604</v>
      </c>
      <c r="J46" s="103">
        <f>J7+J43</f>
        <v>2459784.9</v>
      </c>
      <c r="K46" s="103">
        <f>K7+K43</f>
        <v>1653080.3</v>
      </c>
      <c r="L46" s="117">
        <f>K46/J46*100</f>
        <v>67.20426245400563</v>
      </c>
      <c r="M46" s="103">
        <f>M7+M43</f>
        <v>806704.6</v>
      </c>
      <c r="N46" s="103">
        <f>N7+N43</f>
        <v>3242288.73</v>
      </c>
      <c r="O46" s="138">
        <f>D46+G46</f>
        <v>2459784.9000000004</v>
      </c>
      <c r="P46" s="138">
        <f>E46+H46</f>
        <v>1653080.3</v>
      </c>
      <c r="Q46" s="138">
        <f>O46-P46</f>
        <v>806704.6000000003</v>
      </c>
      <c r="R46" s="138">
        <f>C46+O46-P46</f>
        <v>3242288.7300000004</v>
      </c>
    </row>
    <row r="47" spans="2:18" ht="18.75">
      <c r="B47" s="111"/>
      <c r="C47" s="125"/>
      <c r="D47" s="139"/>
      <c r="E47" s="139"/>
      <c r="F47" s="123"/>
      <c r="G47" s="124"/>
      <c r="H47" s="124"/>
      <c r="I47" s="123"/>
      <c r="J47" s="123"/>
      <c r="K47" s="123"/>
      <c r="L47" s="123"/>
      <c r="M47" s="156"/>
      <c r="N47" s="126"/>
      <c r="O47" s="127">
        <f>O43+O7</f>
        <v>2459784.9</v>
      </c>
      <c r="P47" s="127">
        <f>P43+P7</f>
        <v>1653080.3000000003</v>
      </c>
      <c r="Q47" s="127">
        <f>Q43+Q7</f>
        <v>806704.5999999999</v>
      </c>
      <c r="R47" s="127">
        <f>R43+R7</f>
        <v>3242288.7299999995</v>
      </c>
    </row>
    <row r="48" ht="18.75">
      <c r="M48" s="156"/>
    </row>
    <row r="49" spans="13:14" ht="18.75">
      <c r="M49" s="156"/>
      <c r="N49" s="127"/>
    </row>
    <row r="50" spans="13:14" ht="18.75">
      <c r="M50" s="156"/>
      <c r="N50" s="127"/>
    </row>
    <row r="51" ht="18.75">
      <c r="M51" s="156"/>
    </row>
    <row r="52" ht="18.75">
      <c r="M52" s="156"/>
    </row>
    <row r="53" ht="18.75">
      <c r="M53" s="156"/>
    </row>
    <row r="54" ht="18.75">
      <c r="M54" s="156"/>
    </row>
    <row r="55" ht="18.75">
      <c r="M55" s="156"/>
    </row>
    <row r="56" ht="18.75">
      <c r="M56" s="156"/>
    </row>
    <row r="57" ht="18.75">
      <c r="M57" s="156"/>
    </row>
    <row r="58" ht="18.75">
      <c r="M58" s="156"/>
    </row>
    <row r="59" ht="18.75">
      <c r="M59" s="156"/>
    </row>
    <row r="60" ht="18.75">
      <c r="M60" s="156"/>
    </row>
    <row r="61" ht="18.75">
      <c r="M61" s="156"/>
    </row>
    <row r="62" ht="18.75">
      <c r="M62" s="156"/>
    </row>
    <row r="63" ht="18.75">
      <c r="M63" s="156"/>
    </row>
    <row r="64" ht="18.75">
      <c r="M64" s="156"/>
    </row>
    <row r="65" ht="18.75">
      <c r="M65" s="156"/>
    </row>
    <row r="66" ht="18.75">
      <c r="M66" s="156"/>
    </row>
    <row r="67" ht="18.75">
      <c r="M67" s="156"/>
    </row>
    <row r="68" ht="18.75">
      <c r="M68" s="156"/>
    </row>
    <row r="69" ht="18.75">
      <c r="M69" s="156"/>
    </row>
    <row r="70" ht="18.75">
      <c r="M70" s="156"/>
    </row>
    <row r="71" ht="18.75">
      <c r="M71" s="156"/>
    </row>
    <row r="72" ht="18.75">
      <c r="M72" s="156"/>
    </row>
    <row r="73" ht="18.75">
      <c r="M73" s="156"/>
    </row>
    <row r="74" ht="18.75">
      <c r="M74" s="156"/>
    </row>
    <row r="75" ht="18.75">
      <c r="M75" s="156"/>
    </row>
    <row r="76" ht="18.75">
      <c r="M76" s="156"/>
    </row>
    <row r="77" ht="18.75">
      <c r="M77" s="156"/>
    </row>
    <row r="78" ht="18.75">
      <c r="M78" s="156"/>
    </row>
    <row r="79" ht="18.75">
      <c r="M79" s="156"/>
    </row>
    <row r="80" ht="18.75">
      <c r="M80" s="156"/>
    </row>
    <row r="81" ht="18.75">
      <c r="M81" s="156"/>
    </row>
    <row r="82" ht="18.75">
      <c r="M82" s="156"/>
    </row>
    <row r="83" ht="18.75">
      <c r="M83" s="156"/>
    </row>
    <row r="84" ht="18.75">
      <c r="M84" s="156"/>
    </row>
    <row r="85" ht="18.75">
      <c r="M85" s="156"/>
    </row>
    <row r="86" ht="18.75">
      <c r="M86" s="156"/>
    </row>
    <row r="87" ht="18.75">
      <c r="M87" s="156"/>
    </row>
    <row r="88" ht="18.75">
      <c r="M88" s="156"/>
    </row>
    <row r="89" ht="18.75">
      <c r="M89" s="156"/>
    </row>
    <row r="90" ht="18.75">
      <c r="M90" s="156"/>
    </row>
    <row r="91" ht="18.75">
      <c r="M91" s="156"/>
    </row>
    <row r="92" ht="18.75">
      <c r="M92" s="156"/>
    </row>
    <row r="93" ht="18.75">
      <c r="M93" s="156"/>
    </row>
  </sheetData>
  <sheetProtection/>
  <autoFilter ref="F1:F93"/>
  <mergeCells count="10">
    <mergeCell ref="D29:N31"/>
    <mergeCell ref="D23:N23"/>
    <mergeCell ref="N5:N6"/>
    <mergeCell ref="M5:M6"/>
    <mergeCell ref="B2:N2"/>
    <mergeCell ref="B3:N3"/>
    <mergeCell ref="B4:C4"/>
    <mergeCell ref="D5:F5"/>
    <mergeCell ref="G5:I5"/>
    <mergeCell ref="J5:L5"/>
  </mergeCells>
  <printOptions horizontalCentered="1"/>
  <pageMargins left="0" right="0" top="0" bottom="0" header="0" footer="0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102"/>
  <sheetViews>
    <sheetView view="pageBreakPreview" zoomScale="70" zoomScaleNormal="75" zoomScaleSheetLayoutView="70" zoomScalePageLayoutView="0" workbookViewId="0" topLeftCell="A2">
      <pane xSplit="3" ySplit="6" topLeftCell="D36" activePane="bottomRight" state="frozen"/>
      <selection pane="topLeft" activeCell="T8" sqref="T8"/>
      <selection pane="topRight" activeCell="T8" sqref="T8"/>
      <selection pane="bottomLeft" activeCell="T8" sqref="T8"/>
      <selection pane="bottomRight" activeCell="L4" activeCellId="2" sqref="F1:F16384 I1:I16384 L1:L16384"/>
    </sheetView>
  </sheetViews>
  <sheetFormatPr defaultColWidth="7.875" defaultRowHeight="12.75"/>
  <cols>
    <col min="1" max="1" width="7.75390625" style="7" customWidth="1"/>
    <col min="2" max="2" width="56.75390625" style="8" customWidth="1"/>
    <col min="3" max="3" width="16.75390625" style="9" customWidth="1"/>
    <col min="4" max="4" width="16.625" style="8" customWidth="1"/>
    <col min="5" max="5" width="15.75390625" style="8" customWidth="1"/>
    <col min="6" max="6" width="11.625" style="21" customWidth="1"/>
    <col min="7" max="8" width="14.75390625" style="8" customWidth="1"/>
    <col min="9" max="9" width="11.875" style="21" customWidth="1"/>
    <col min="10" max="10" width="18.75390625" style="8" customWidth="1"/>
    <col min="11" max="11" width="19.875" style="8" customWidth="1"/>
    <col min="12" max="12" width="13.75390625" style="21" customWidth="1"/>
    <col min="13" max="13" width="19.75390625" style="8" customWidth="1"/>
    <col min="14" max="14" width="22.625" style="8" customWidth="1"/>
    <col min="15" max="16384" width="7.875" style="8" customWidth="1"/>
  </cols>
  <sheetData>
    <row r="1" spans="4:14" ht="18.75"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2:14" ht="18.75">
      <c r="B2" s="188" t="s">
        <v>90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2:14" ht="18.75">
      <c r="B3" s="169" t="s">
        <v>112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2:14" ht="18.75">
      <c r="B4" s="187"/>
      <c r="C4" s="187"/>
      <c r="N4" s="10" t="s">
        <v>48</v>
      </c>
    </row>
    <row r="5" spans="1:14" s="135" customFormat="1" ht="36.75" customHeight="1">
      <c r="A5" s="134" t="s">
        <v>36</v>
      </c>
      <c r="B5" s="134"/>
      <c r="C5" s="131" t="s">
        <v>1</v>
      </c>
      <c r="D5" s="171" t="s">
        <v>114</v>
      </c>
      <c r="E5" s="172"/>
      <c r="F5" s="173"/>
      <c r="G5" s="182" t="s">
        <v>116</v>
      </c>
      <c r="H5" s="183"/>
      <c r="I5" s="184"/>
      <c r="J5" s="171" t="s">
        <v>117</v>
      </c>
      <c r="K5" s="172"/>
      <c r="L5" s="173"/>
      <c r="M5" s="167" t="s">
        <v>118</v>
      </c>
      <c r="N5" s="167" t="s">
        <v>113</v>
      </c>
    </row>
    <row r="6" spans="1:14" s="135" customFormat="1" ht="38.25" customHeight="1">
      <c r="A6" s="136" t="s">
        <v>9</v>
      </c>
      <c r="B6" s="133" t="s">
        <v>46</v>
      </c>
      <c r="C6" s="113" t="s">
        <v>107</v>
      </c>
      <c r="D6" s="13" t="s">
        <v>115</v>
      </c>
      <c r="E6" s="13" t="s">
        <v>47</v>
      </c>
      <c r="F6" s="15" t="s">
        <v>0</v>
      </c>
      <c r="G6" s="13" t="s">
        <v>115</v>
      </c>
      <c r="H6" s="13" t="s">
        <v>47</v>
      </c>
      <c r="I6" s="15" t="s">
        <v>0</v>
      </c>
      <c r="J6" s="13" t="s">
        <v>115</v>
      </c>
      <c r="K6" s="13" t="s">
        <v>47</v>
      </c>
      <c r="L6" s="15" t="s">
        <v>0</v>
      </c>
      <c r="M6" s="168"/>
      <c r="N6" s="168"/>
    </row>
    <row r="7" spans="1:14" s="21" customFormat="1" ht="36" customHeight="1">
      <c r="A7" s="15"/>
      <c r="B7" s="16" t="s">
        <v>49</v>
      </c>
      <c r="C7" s="17">
        <f>SUM(C8:C42)</f>
        <v>184720.52999999997</v>
      </c>
      <c r="D7" s="19">
        <f>SUM(D8:D42)</f>
        <v>50559.9</v>
      </c>
      <c r="E7" s="19">
        <f>SUM(E8:E42)</f>
        <v>30917.7</v>
      </c>
      <c r="F7" s="19">
        <f>E7/D7*100</f>
        <v>61.15063518717403</v>
      </c>
      <c r="G7" s="19">
        <f>SUM(G8:G42)</f>
        <v>46962.2</v>
      </c>
      <c r="H7" s="19">
        <f>SUM(H8:H42)</f>
        <v>31916.100000000002</v>
      </c>
      <c r="I7" s="19">
        <f>H7/G7*100</f>
        <v>67.96125394466188</v>
      </c>
      <c r="J7" s="19">
        <f>SUM(J8:J42)</f>
        <v>97522.09999999999</v>
      </c>
      <c r="K7" s="19">
        <f>SUM(K8:K42)</f>
        <v>62833.799999999996</v>
      </c>
      <c r="L7" s="19">
        <f>K7/J7*100</f>
        <v>64.43031887131224</v>
      </c>
      <c r="M7" s="20">
        <f>SUM(M8:M42)</f>
        <v>34688.3</v>
      </c>
      <c r="N7" s="20">
        <f>SUM(N8:N42)</f>
        <v>219408.83</v>
      </c>
    </row>
    <row r="8" spans="1:14" ht="36.75" customHeight="1">
      <c r="A8" s="22">
        <v>1</v>
      </c>
      <c r="B8" s="23" t="s">
        <v>50</v>
      </c>
      <c r="C8" s="24">
        <v>20675.53</v>
      </c>
      <c r="D8" s="25">
        <v>4313.3</v>
      </c>
      <c r="E8" s="25">
        <v>3288.1</v>
      </c>
      <c r="F8" s="19">
        <f aca="true" t="shared" si="0" ref="F8:F27">E8/D8*100</f>
        <v>76.23165557693645</v>
      </c>
      <c r="G8" s="25">
        <v>3885.2</v>
      </c>
      <c r="H8" s="25">
        <v>3101</v>
      </c>
      <c r="I8" s="19">
        <f>H8/G8*100</f>
        <v>79.81571090291362</v>
      </c>
      <c r="J8" s="25">
        <f>D8+G8</f>
        <v>8198.5</v>
      </c>
      <c r="K8" s="25">
        <f>E8+H8</f>
        <v>6389.1</v>
      </c>
      <c r="L8" s="19">
        <f>K8/J8*100</f>
        <v>77.93010916631091</v>
      </c>
      <c r="M8" s="19">
        <f>J8-K8</f>
        <v>1809.3999999999996</v>
      </c>
      <c r="N8" s="26">
        <f>C8+J8-K8</f>
        <v>22484.93</v>
      </c>
    </row>
    <row r="9" spans="1:14" ht="41.25" customHeight="1">
      <c r="A9" s="22">
        <v>2</v>
      </c>
      <c r="B9" s="27" t="s">
        <v>81</v>
      </c>
      <c r="C9" s="24">
        <v>117.2</v>
      </c>
      <c r="D9" s="25">
        <v>40.1</v>
      </c>
      <c r="E9" s="25">
        <v>25.1</v>
      </c>
      <c r="F9" s="19">
        <f t="shared" si="0"/>
        <v>62.593516209476306</v>
      </c>
      <c r="G9" s="25">
        <v>25.7</v>
      </c>
      <c r="H9" s="25">
        <v>42</v>
      </c>
      <c r="I9" s="19">
        <f aca="true" t="shared" si="1" ref="I9:I21">H9/G9*100</f>
        <v>163.42412451361866</v>
      </c>
      <c r="J9" s="25">
        <f aca="true" t="shared" si="2" ref="J9:J19">D9+G9</f>
        <v>65.8</v>
      </c>
      <c r="K9" s="25">
        <f aca="true" t="shared" si="3" ref="K9:K19">E9+H9</f>
        <v>67.1</v>
      </c>
      <c r="L9" s="19">
        <f>K9/J9*100</f>
        <v>101.9756838905775</v>
      </c>
      <c r="M9" s="19">
        <f aca="true" t="shared" si="4" ref="M9:M44">J9-K9</f>
        <v>-1.2999999999999972</v>
      </c>
      <c r="N9" s="26">
        <f>C9+J9-K9</f>
        <v>115.9</v>
      </c>
    </row>
    <row r="10" spans="1:14" ht="35.25" customHeight="1">
      <c r="A10" s="22">
        <v>3</v>
      </c>
      <c r="B10" s="28" t="s">
        <v>97</v>
      </c>
      <c r="C10" s="24"/>
      <c r="D10" s="30"/>
      <c r="E10" s="30"/>
      <c r="F10" s="31" t="e">
        <f t="shared" si="0"/>
        <v>#DIV/0!</v>
      </c>
      <c r="G10" s="30"/>
      <c r="H10" s="30"/>
      <c r="I10" s="31" t="e">
        <f t="shared" si="1"/>
        <v>#DIV/0!</v>
      </c>
      <c r="J10" s="25"/>
      <c r="K10" s="25"/>
      <c r="L10" s="31" t="e">
        <f>K10/J10*100</f>
        <v>#DIV/0!</v>
      </c>
      <c r="M10" s="19"/>
      <c r="N10" s="32">
        <f>C10+D10-E10</f>
        <v>0</v>
      </c>
    </row>
    <row r="11" spans="1:14" ht="24" customHeight="1">
      <c r="A11" s="22">
        <v>4</v>
      </c>
      <c r="B11" s="23" t="s">
        <v>108</v>
      </c>
      <c r="C11" s="24"/>
      <c r="D11" s="25"/>
      <c r="E11" s="25"/>
      <c r="F11" s="31"/>
      <c r="G11" s="25"/>
      <c r="H11" s="25"/>
      <c r="I11" s="31" t="e">
        <f t="shared" si="1"/>
        <v>#DIV/0!</v>
      </c>
      <c r="J11" s="25"/>
      <c r="K11" s="25"/>
      <c r="L11" s="31"/>
      <c r="M11" s="19"/>
      <c r="N11" s="26"/>
    </row>
    <row r="12" spans="1:14" ht="24" customHeight="1">
      <c r="A12" s="22">
        <v>5</v>
      </c>
      <c r="B12" s="23" t="s">
        <v>79</v>
      </c>
      <c r="C12" s="24">
        <v>204.6</v>
      </c>
      <c r="D12" s="25">
        <v>444.7</v>
      </c>
      <c r="E12" s="25">
        <v>452.7</v>
      </c>
      <c r="F12" s="19">
        <f t="shared" si="0"/>
        <v>101.79896559478301</v>
      </c>
      <c r="G12" s="25">
        <v>318.5</v>
      </c>
      <c r="H12" s="25">
        <v>466.4</v>
      </c>
      <c r="I12" s="19">
        <f t="shared" si="1"/>
        <v>146.436420722135</v>
      </c>
      <c r="J12" s="25">
        <f t="shared" si="2"/>
        <v>763.2</v>
      </c>
      <c r="K12" s="25">
        <f t="shared" si="3"/>
        <v>919.0999999999999</v>
      </c>
      <c r="L12" s="19">
        <f aca="true" t="shared" si="5" ref="L12:L22">K12/J12*100</f>
        <v>120.42714884696015</v>
      </c>
      <c r="M12" s="19">
        <f t="shared" si="4"/>
        <v>-155.89999999999986</v>
      </c>
      <c r="N12" s="26">
        <f>C12+J12-K12</f>
        <v>48.70000000000016</v>
      </c>
    </row>
    <row r="13" spans="1:14" ht="24" customHeight="1">
      <c r="A13" s="22">
        <v>6</v>
      </c>
      <c r="B13" s="23" t="s">
        <v>51</v>
      </c>
      <c r="C13" s="24">
        <v>84.8</v>
      </c>
      <c r="D13" s="25">
        <v>3.3</v>
      </c>
      <c r="E13" s="25">
        <v>1.3</v>
      </c>
      <c r="F13" s="19">
        <f t="shared" si="0"/>
        <v>39.3939393939394</v>
      </c>
      <c r="G13" s="25">
        <v>1.8</v>
      </c>
      <c r="H13" s="25">
        <v>3.4</v>
      </c>
      <c r="I13" s="19">
        <f t="shared" si="1"/>
        <v>188.88888888888889</v>
      </c>
      <c r="J13" s="25">
        <f t="shared" si="2"/>
        <v>5.1</v>
      </c>
      <c r="K13" s="25">
        <f t="shared" si="3"/>
        <v>4.7</v>
      </c>
      <c r="L13" s="19">
        <f t="shared" si="5"/>
        <v>92.15686274509804</v>
      </c>
      <c r="M13" s="19">
        <f t="shared" si="4"/>
        <v>0.39999999999999947</v>
      </c>
      <c r="N13" s="26">
        <f>C13+J13-K13</f>
        <v>85.19999999999999</v>
      </c>
    </row>
    <row r="14" spans="1:14" ht="24" customHeight="1">
      <c r="A14" s="22">
        <v>7</v>
      </c>
      <c r="B14" s="23" t="s">
        <v>52</v>
      </c>
      <c r="C14" s="24">
        <v>1.2</v>
      </c>
      <c r="D14" s="30"/>
      <c r="E14" s="25">
        <v>0</v>
      </c>
      <c r="F14" s="31" t="e">
        <f t="shared" si="0"/>
        <v>#DIV/0!</v>
      </c>
      <c r="G14" s="30"/>
      <c r="H14" s="30"/>
      <c r="I14" s="31" t="e">
        <f t="shared" si="1"/>
        <v>#DIV/0!</v>
      </c>
      <c r="J14" s="25"/>
      <c r="K14" s="25">
        <f t="shared" si="3"/>
        <v>0</v>
      </c>
      <c r="L14" s="31" t="e">
        <f t="shared" si="5"/>
        <v>#DIV/0!</v>
      </c>
      <c r="M14" s="19">
        <f t="shared" si="4"/>
        <v>0</v>
      </c>
      <c r="N14" s="26">
        <f>C14+J14-K14</f>
        <v>1.2</v>
      </c>
    </row>
    <row r="15" spans="1:14" ht="27" customHeight="1">
      <c r="A15" s="22">
        <v>8</v>
      </c>
      <c r="B15" s="23" t="s">
        <v>53</v>
      </c>
      <c r="C15" s="24">
        <v>2036.4</v>
      </c>
      <c r="D15" s="25">
        <v>1091.5</v>
      </c>
      <c r="E15" s="25">
        <v>910.2</v>
      </c>
      <c r="F15" s="19">
        <f t="shared" si="0"/>
        <v>83.38983050847459</v>
      </c>
      <c r="G15" s="25">
        <v>698.6</v>
      </c>
      <c r="H15" s="25">
        <v>980.5</v>
      </c>
      <c r="I15" s="19">
        <f t="shared" si="1"/>
        <v>140.35213283710277</v>
      </c>
      <c r="J15" s="25">
        <f t="shared" si="2"/>
        <v>1790.1</v>
      </c>
      <c r="K15" s="25">
        <f t="shared" si="3"/>
        <v>1890.7</v>
      </c>
      <c r="L15" s="19">
        <f t="shared" si="5"/>
        <v>105.61979777666053</v>
      </c>
      <c r="M15" s="19">
        <f t="shared" si="4"/>
        <v>-100.60000000000014</v>
      </c>
      <c r="N15" s="26">
        <f>C15+J15-K15</f>
        <v>1935.8</v>
      </c>
    </row>
    <row r="16" spans="1:14" ht="24" customHeight="1">
      <c r="A16" s="22">
        <v>9</v>
      </c>
      <c r="B16" s="23" t="s">
        <v>54</v>
      </c>
      <c r="C16" s="24"/>
      <c r="D16" s="30"/>
      <c r="E16" s="30"/>
      <c r="F16" s="31" t="e">
        <f t="shared" si="0"/>
        <v>#DIV/0!</v>
      </c>
      <c r="G16" s="30"/>
      <c r="H16" s="30"/>
      <c r="I16" s="31" t="e">
        <f t="shared" si="1"/>
        <v>#DIV/0!</v>
      </c>
      <c r="J16" s="25"/>
      <c r="K16" s="25"/>
      <c r="L16" s="31" t="e">
        <f t="shared" si="5"/>
        <v>#DIV/0!</v>
      </c>
      <c r="M16" s="19"/>
      <c r="N16" s="32">
        <f>C16+D16-E16</f>
        <v>0</v>
      </c>
    </row>
    <row r="17" spans="1:14" ht="24" customHeight="1">
      <c r="A17" s="22">
        <v>10</v>
      </c>
      <c r="B17" s="28" t="s">
        <v>55</v>
      </c>
      <c r="C17" s="24">
        <v>5702.5</v>
      </c>
      <c r="D17" s="25">
        <v>850.5</v>
      </c>
      <c r="E17" s="25">
        <v>463.7</v>
      </c>
      <c r="F17" s="19">
        <f t="shared" si="0"/>
        <v>54.52087007642563</v>
      </c>
      <c r="G17" s="25">
        <v>718.2</v>
      </c>
      <c r="H17" s="25">
        <v>514.7</v>
      </c>
      <c r="I17" s="19">
        <f t="shared" si="1"/>
        <v>71.66527429685324</v>
      </c>
      <c r="J17" s="25">
        <f t="shared" si="2"/>
        <v>1568.7</v>
      </c>
      <c r="K17" s="25">
        <f t="shared" si="3"/>
        <v>978.4000000000001</v>
      </c>
      <c r="L17" s="19">
        <f t="shared" si="5"/>
        <v>62.37011538216358</v>
      </c>
      <c r="M17" s="19">
        <f t="shared" si="4"/>
        <v>590.3</v>
      </c>
      <c r="N17" s="26">
        <f>C17+J17-K17</f>
        <v>6292.799999999999</v>
      </c>
    </row>
    <row r="18" spans="1:14" ht="24" customHeight="1">
      <c r="A18" s="22">
        <v>11</v>
      </c>
      <c r="B18" s="28" t="s">
        <v>56</v>
      </c>
      <c r="C18" s="24">
        <v>14.4</v>
      </c>
      <c r="D18" s="25">
        <v>5.4</v>
      </c>
      <c r="E18" s="25">
        <v>0.2</v>
      </c>
      <c r="F18" s="19">
        <f t="shared" si="0"/>
        <v>3.7037037037037033</v>
      </c>
      <c r="G18" s="25">
        <v>4.2</v>
      </c>
      <c r="H18" s="25">
        <v>5.6</v>
      </c>
      <c r="I18" s="19">
        <f t="shared" si="1"/>
        <v>133.33333333333331</v>
      </c>
      <c r="J18" s="25">
        <f t="shared" si="2"/>
        <v>9.600000000000001</v>
      </c>
      <c r="K18" s="25">
        <f t="shared" si="3"/>
        <v>5.8</v>
      </c>
      <c r="L18" s="19">
        <f t="shared" si="5"/>
        <v>60.41666666666665</v>
      </c>
      <c r="M18" s="19">
        <f t="shared" si="4"/>
        <v>3.8000000000000016</v>
      </c>
      <c r="N18" s="26">
        <f>C18+J18-K18</f>
        <v>18.2</v>
      </c>
    </row>
    <row r="19" spans="1:14" ht="24" customHeight="1">
      <c r="A19" s="22">
        <v>12</v>
      </c>
      <c r="B19" s="23" t="s">
        <v>80</v>
      </c>
      <c r="C19" s="24">
        <v>2941</v>
      </c>
      <c r="D19" s="25">
        <v>457.7</v>
      </c>
      <c r="E19" s="25">
        <v>475.9</v>
      </c>
      <c r="F19" s="19">
        <f t="shared" si="0"/>
        <v>103.97640375792004</v>
      </c>
      <c r="G19" s="25">
        <v>409.1</v>
      </c>
      <c r="H19" s="25">
        <v>402.3</v>
      </c>
      <c r="I19" s="19">
        <f t="shared" si="1"/>
        <v>98.33781471522855</v>
      </c>
      <c r="J19" s="25">
        <f t="shared" si="2"/>
        <v>866.8</v>
      </c>
      <c r="K19" s="25">
        <f t="shared" si="3"/>
        <v>878.2</v>
      </c>
      <c r="L19" s="19">
        <f t="shared" si="5"/>
        <v>101.31518227964929</v>
      </c>
      <c r="M19" s="19">
        <f t="shared" si="4"/>
        <v>-11.400000000000091</v>
      </c>
      <c r="N19" s="26">
        <f>C19+J19-K19</f>
        <v>2929.6000000000004</v>
      </c>
    </row>
    <row r="20" spans="1:14" ht="24" customHeight="1">
      <c r="A20" s="22">
        <v>13</v>
      </c>
      <c r="B20" s="28" t="s">
        <v>57</v>
      </c>
      <c r="C20" s="24">
        <v>0.1</v>
      </c>
      <c r="D20" s="30"/>
      <c r="E20" s="30"/>
      <c r="F20" s="31" t="e">
        <f t="shared" si="0"/>
        <v>#DIV/0!</v>
      </c>
      <c r="G20" s="30"/>
      <c r="H20" s="30"/>
      <c r="I20" s="31" t="e">
        <f t="shared" si="1"/>
        <v>#DIV/0!</v>
      </c>
      <c r="J20" s="30"/>
      <c r="K20" s="30"/>
      <c r="L20" s="31" t="e">
        <f t="shared" si="5"/>
        <v>#DIV/0!</v>
      </c>
      <c r="M20" s="19">
        <f t="shared" si="4"/>
        <v>0</v>
      </c>
      <c r="N20" s="26">
        <f>C20+J20-K20</f>
        <v>0.1</v>
      </c>
    </row>
    <row r="21" spans="1:14" ht="24" customHeight="1">
      <c r="A21" s="22" t="s">
        <v>111</v>
      </c>
      <c r="B21" s="28" t="s">
        <v>58</v>
      </c>
      <c r="C21" s="24">
        <v>3.1</v>
      </c>
      <c r="D21" s="30"/>
      <c r="E21" s="30"/>
      <c r="F21" s="31" t="e">
        <f t="shared" si="0"/>
        <v>#DIV/0!</v>
      </c>
      <c r="G21" s="30"/>
      <c r="H21" s="30"/>
      <c r="I21" s="31" t="e">
        <f t="shared" si="1"/>
        <v>#DIV/0!</v>
      </c>
      <c r="J21" s="30"/>
      <c r="K21" s="30"/>
      <c r="L21" s="31" t="e">
        <f t="shared" si="5"/>
        <v>#DIV/0!</v>
      </c>
      <c r="M21" s="19">
        <f t="shared" si="4"/>
        <v>0</v>
      </c>
      <c r="N21" s="26">
        <f>C21+J21-K21</f>
        <v>3.1</v>
      </c>
    </row>
    <row r="22" spans="1:14" ht="36.75" customHeight="1">
      <c r="A22" s="22">
        <v>15</v>
      </c>
      <c r="B22" s="28" t="s">
        <v>59</v>
      </c>
      <c r="C22" s="24"/>
      <c r="D22" s="30"/>
      <c r="E22" s="30"/>
      <c r="F22" s="31" t="e">
        <f t="shared" si="0"/>
        <v>#DIV/0!</v>
      </c>
      <c r="G22" s="30"/>
      <c r="H22" s="30"/>
      <c r="I22" s="31" t="e">
        <f>H22/G22*100</f>
        <v>#DIV/0!</v>
      </c>
      <c r="J22" s="30"/>
      <c r="K22" s="30"/>
      <c r="L22" s="31" t="e">
        <f t="shared" si="5"/>
        <v>#DIV/0!</v>
      </c>
      <c r="M22" s="19"/>
      <c r="N22" s="26"/>
    </row>
    <row r="23" spans="1:14" ht="24" customHeight="1">
      <c r="A23" s="22">
        <v>16</v>
      </c>
      <c r="B23" s="28" t="s">
        <v>60</v>
      </c>
      <c r="C23" s="24"/>
      <c r="D23" s="33" t="s">
        <v>91</v>
      </c>
      <c r="E23" s="33"/>
      <c r="F23" s="33"/>
      <c r="G23" s="33"/>
      <c r="H23" s="33"/>
      <c r="I23" s="33"/>
      <c r="J23" s="33" t="s">
        <v>91</v>
      </c>
      <c r="K23" s="33"/>
      <c r="L23" s="33"/>
      <c r="M23" s="19"/>
      <c r="N23" s="34"/>
    </row>
    <row r="24" spans="1:14" ht="36.75" customHeight="1">
      <c r="A24" s="22">
        <v>17</v>
      </c>
      <c r="B24" s="28" t="s">
        <v>61</v>
      </c>
      <c r="C24" s="24">
        <v>7612.2</v>
      </c>
      <c r="D24" s="25">
        <v>3610</v>
      </c>
      <c r="E24" s="25">
        <v>2361.1</v>
      </c>
      <c r="F24" s="19">
        <f t="shared" si="0"/>
        <v>65.40443213296399</v>
      </c>
      <c r="G24" s="25">
        <v>2558.8</v>
      </c>
      <c r="H24" s="25">
        <v>2403.7</v>
      </c>
      <c r="I24" s="19">
        <f>H24/G24*100</f>
        <v>93.93856495232139</v>
      </c>
      <c r="J24" s="25">
        <f>D24+G24</f>
        <v>6168.8</v>
      </c>
      <c r="K24" s="25">
        <f>E24+H24</f>
        <v>4764.799999999999</v>
      </c>
      <c r="L24" s="19">
        <f>K24/J24*100</f>
        <v>77.24030605628322</v>
      </c>
      <c r="M24" s="19">
        <f t="shared" si="4"/>
        <v>1404.000000000001</v>
      </c>
      <c r="N24" s="26">
        <f>C24+J24-K24</f>
        <v>9016.2</v>
      </c>
    </row>
    <row r="25" spans="1:14" ht="24" customHeight="1">
      <c r="A25" s="22">
        <v>18</v>
      </c>
      <c r="B25" s="23" t="s">
        <v>62</v>
      </c>
      <c r="C25" s="24"/>
      <c r="D25" s="30"/>
      <c r="E25" s="30"/>
      <c r="F25" s="31" t="e">
        <f t="shared" si="0"/>
        <v>#DIV/0!</v>
      </c>
      <c r="G25" s="30"/>
      <c r="H25" s="30"/>
      <c r="I25" s="31" t="e">
        <f>H25/G25*100</f>
        <v>#DIV/0!</v>
      </c>
      <c r="J25" s="25"/>
      <c r="K25" s="25"/>
      <c r="L25" s="31" t="e">
        <f>K25/J25*100</f>
        <v>#DIV/0!</v>
      </c>
      <c r="M25" s="19"/>
      <c r="N25" s="32">
        <f>C25+D25-E25</f>
        <v>0</v>
      </c>
    </row>
    <row r="26" spans="1:14" ht="24" customHeight="1">
      <c r="A26" s="22">
        <v>19</v>
      </c>
      <c r="B26" s="28" t="s">
        <v>63</v>
      </c>
      <c r="C26" s="24">
        <v>1803.2</v>
      </c>
      <c r="D26" s="25">
        <v>224.4</v>
      </c>
      <c r="E26" s="25">
        <v>136.5</v>
      </c>
      <c r="F26" s="19">
        <f t="shared" si="0"/>
        <v>60.82887700534759</v>
      </c>
      <c r="G26" s="25">
        <v>174.3</v>
      </c>
      <c r="H26" s="25">
        <v>133.5</v>
      </c>
      <c r="I26" s="19">
        <f>H26/G26*100</f>
        <v>76.59208261617898</v>
      </c>
      <c r="J26" s="25">
        <f>D26+G26</f>
        <v>398.70000000000005</v>
      </c>
      <c r="K26" s="25">
        <f>E26+H26</f>
        <v>270</v>
      </c>
      <c r="L26" s="19">
        <f>K26/J26*100</f>
        <v>67.72009029345372</v>
      </c>
      <c r="M26" s="19">
        <f t="shared" si="4"/>
        <v>128.70000000000005</v>
      </c>
      <c r="N26" s="26">
        <f>C26+J26-K26</f>
        <v>1931.9</v>
      </c>
    </row>
    <row r="27" spans="1:14" ht="36.75" customHeight="1">
      <c r="A27" s="22">
        <v>20</v>
      </c>
      <c r="B27" s="28" t="s">
        <v>94</v>
      </c>
      <c r="C27" s="24">
        <v>1025.5</v>
      </c>
      <c r="D27" s="25">
        <v>-5.6</v>
      </c>
      <c r="E27" s="25">
        <v>334.1</v>
      </c>
      <c r="F27" s="19">
        <f t="shared" si="0"/>
        <v>-5966.071428571429</v>
      </c>
      <c r="G27" s="25">
        <v>760.2</v>
      </c>
      <c r="H27" s="25">
        <v>289.3</v>
      </c>
      <c r="I27" s="19">
        <f>H27/G27*100</f>
        <v>38.05577479610629</v>
      </c>
      <c r="J27" s="25">
        <f>D27+G27</f>
        <v>754.6</v>
      </c>
      <c r="K27" s="25">
        <f>E27+H27</f>
        <v>623.4000000000001</v>
      </c>
      <c r="L27" s="19">
        <f>K27/J27*100</f>
        <v>82.61330506228465</v>
      </c>
      <c r="M27" s="19">
        <f t="shared" si="4"/>
        <v>131.19999999999993</v>
      </c>
      <c r="N27" s="26">
        <f>C27+J27-K27</f>
        <v>1156.6999999999998</v>
      </c>
    </row>
    <row r="28" spans="1:14" ht="36.75" customHeight="1">
      <c r="A28" s="22">
        <v>21</v>
      </c>
      <c r="B28" s="23" t="s">
        <v>64</v>
      </c>
      <c r="C28" s="35"/>
      <c r="D28" s="36"/>
      <c r="E28" s="36"/>
      <c r="F28" s="19"/>
      <c r="G28" s="30"/>
      <c r="H28" s="30"/>
      <c r="I28" s="31" t="e">
        <f>H28/G28*100</f>
        <v>#DIV/0!</v>
      </c>
      <c r="J28" s="25"/>
      <c r="K28" s="25"/>
      <c r="L28" s="19"/>
      <c r="M28" s="19"/>
      <c r="N28" s="26"/>
    </row>
    <row r="29" spans="1:14" ht="24" customHeight="1">
      <c r="A29" s="22">
        <v>22</v>
      </c>
      <c r="B29" s="23" t="s">
        <v>65</v>
      </c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179"/>
      <c r="N29" s="39"/>
    </row>
    <row r="30" spans="1:14" ht="24" customHeight="1">
      <c r="A30" s="22">
        <v>23</v>
      </c>
      <c r="B30" s="28" t="s">
        <v>66</v>
      </c>
      <c r="C30" s="40"/>
      <c r="D30" s="177" t="s">
        <v>91</v>
      </c>
      <c r="E30" s="177"/>
      <c r="F30" s="177"/>
      <c r="G30" s="177"/>
      <c r="H30" s="177"/>
      <c r="I30" s="177"/>
      <c r="J30" s="177"/>
      <c r="K30" s="177"/>
      <c r="L30" s="178"/>
      <c r="M30" s="180"/>
      <c r="N30" s="41"/>
    </row>
    <row r="31" spans="1:14" ht="24" customHeight="1">
      <c r="A31" s="22">
        <v>24</v>
      </c>
      <c r="B31" s="28" t="s">
        <v>67</v>
      </c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181"/>
      <c r="N31" s="44"/>
    </row>
    <row r="32" spans="1:14" ht="24" customHeight="1">
      <c r="A32" s="22">
        <v>25</v>
      </c>
      <c r="B32" s="28" t="s">
        <v>68</v>
      </c>
      <c r="C32" s="24"/>
      <c r="D32" s="30"/>
      <c r="E32" s="30"/>
      <c r="F32" s="31"/>
      <c r="G32" s="30"/>
      <c r="H32" s="30"/>
      <c r="I32" s="31"/>
      <c r="J32" s="30"/>
      <c r="K32" s="30"/>
      <c r="L32" s="31"/>
      <c r="M32" s="19"/>
      <c r="N32" s="45"/>
    </row>
    <row r="33" spans="1:14" ht="24" customHeight="1">
      <c r="A33" s="22"/>
      <c r="B33" s="28" t="s">
        <v>106</v>
      </c>
      <c r="C33" s="24">
        <v>23961.2</v>
      </c>
      <c r="D33" s="25">
        <v>5049.6</v>
      </c>
      <c r="E33" s="25">
        <v>2403.8</v>
      </c>
      <c r="F33" s="19">
        <f>E33/D33*100</f>
        <v>47.60377059569075</v>
      </c>
      <c r="G33" s="25">
        <v>2706.8</v>
      </c>
      <c r="H33" s="25">
        <v>2697.1</v>
      </c>
      <c r="I33" s="19">
        <f aca="true" t="shared" si="6" ref="I33:I45">H33/G33*100</f>
        <v>99.64164326880449</v>
      </c>
      <c r="J33" s="25">
        <f aca="true" t="shared" si="7" ref="J33:J42">D33+G33</f>
        <v>7756.400000000001</v>
      </c>
      <c r="K33" s="25">
        <f aca="true" t="shared" si="8" ref="K33:K42">E33+H33</f>
        <v>5100.9</v>
      </c>
      <c r="L33" s="19">
        <f>K33/J33*100</f>
        <v>65.76375638182661</v>
      </c>
      <c r="M33" s="19">
        <f t="shared" si="4"/>
        <v>2655.500000000001</v>
      </c>
      <c r="N33" s="26">
        <f aca="true" t="shared" si="9" ref="N33:N44">C33+J33-K33</f>
        <v>26616.700000000004</v>
      </c>
    </row>
    <row r="34" spans="1:14" ht="24.75" customHeight="1">
      <c r="A34" s="46"/>
      <c r="B34" s="28" t="s">
        <v>69</v>
      </c>
      <c r="C34" s="24">
        <v>84.4</v>
      </c>
      <c r="D34" s="25"/>
      <c r="E34" s="25"/>
      <c r="F34" s="19"/>
      <c r="G34" s="25"/>
      <c r="H34" s="25"/>
      <c r="I34" s="31" t="e">
        <f t="shared" si="6"/>
        <v>#DIV/0!</v>
      </c>
      <c r="J34" s="25"/>
      <c r="K34" s="25"/>
      <c r="L34" s="19"/>
      <c r="M34" s="19"/>
      <c r="N34" s="26">
        <f t="shared" si="9"/>
        <v>84.4</v>
      </c>
    </row>
    <row r="35" spans="1:14" ht="35.25" customHeight="1">
      <c r="A35" s="22">
        <v>26</v>
      </c>
      <c r="B35" s="28" t="s">
        <v>95</v>
      </c>
      <c r="C35" s="24">
        <v>7672.7</v>
      </c>
      <c r="D35" s="25">
        <f>331.2+1598.2</f>
        <v>1929.4</v>
      </c>
      <c r="E35" s="25">
        <f>211.8+679.2</f>
        <v>891</v>
      </c>
      <c r="F35" s="19">
        <f aca="true" t="shared" si="10" ref="F35:F46">E35/D35*100</f>
        <v>46.18015963511972</v>
      </c>
      <c r="G35" s="25">
        <f>443.4+1030.5</f>
        <v>1473.9</v>
      </c>
      <c r="H35" s="25">
        <f>243.8+803.9</f>
        <v>1047.7</v>
      </c>
      <c r="I35" s="19">
        <f t="shared" si="6"/>
        <v>71.08351991315557</v>
      </c>
      <c r="J35" s="25">
        <f t="shared" si="7"/>
        <v>3403.3</v>
      </c>
      <c r="K35" s="25">
        <f t="shared" si="8"/>
        <v>1938.7</v>
      </c>
      <c r="L35" s="19">
        <f aca="true" t="shared" si="11" ref="L35:L44">K35/J35*100</f>
        <v>56.96529838685981</v>
      </c>
      <c r="M35" s="19">
        <f t="shared" si="4"/>
        <v>1464.6000000000001</v>
      </c>
      <c r="N35" s="26">
        <f t="shared" si="9"/>
        <v>9137.3</v>
      </c>
    </row>
    <row r="36" spans="1:14" ht="24" customHeight="1">
      <c r="A36" s="22">
        <v>27</v>
      </c>
      <c r="B36" s="23" t="s">
        <v>70</v>
      </c>
      <c r="C36" s="24">
        <v>54.7</v>
      </c>
      <c r="D36" s="25">
        <v>0.2</v>
      </c>
      <c r="E36" s="25">
        <v>0.2</v>
      </c>
      <c r="F36" s="19">
        <f t="shared" si="10"/>
        <v>100</v>
      </c>
      <c r="G36" s="25">
        <v>0.2</v>
      </c>
      <c r="H36" s="25">
        <v>0.2</v>
      </c>
      <c r="I36" s="19">
        <f t="shared" si="6"/>
        <v>100</v>
      </c>
      <c r="J36" s="25">
        <f t="shared" si="7"/>
        <v>0.4</v>
      </c>
      <c r="K36" s="25">
        <f t="shared" si="8"/>
        <v>0.4</v>
      </c>
      <c r="L36" s="19">
        <f t="shared" si="11"/>
        <v>100</v>
      </c>
      <c r="M36" s="19">
        <f t="shared" si="4"/>
        <v>0</v>
      </c>
      <c r="N36" s="26">
        <f t="shared" si="9"/>
        <v>54.7</v>
      </c>
    </row>
    <row r="37" spans="1:14" ht="24" customHeight="1">
      <c r="A37" s="22">
        <v>28</v>
      </c>
      <c r="B37" s="28" t="s">
        <v>71</v>
      </c>
      <c r="C37" s="24">
        <f>13815-3.1</f>
        <v>13811.9</v>
      </c>
      <c r="D37" s="25">
        <v>4908.4</v>
      </c>
      <c r="E37" s="25">
        <v>2388.3</v>
      </c>
      <c r="F37" s="19">
        <f t="shared" si="10"/>
        <v>48.65740363458562</v>
      </c>
      <c r="G37" s="25">
        <v>4165.9</v>
      </c>
      <c r="H37" s="25">
        <v>2751</v>
      </c>
      <c r="I37" s="19">
        <f t="shared" si="6"/>
        <v>66.03615065171992</v>
      </c>
      <c r="J37" s="25">
        <f t="shared" si="7"/>
        <v>9074.3</v>
      </c>
      <c r="K37" s="25">
        <f t="shared" si="8"/>
        <v>5139.3</v>
      </c>
      <c r="L37" s="19">
        <f t="shared" si="11"/>
        <v>56.635773558291</v>
      </c>
      <c r="M37" s="19">
        <f t="shared" si="4"/>
        <v>3934.999999999999</v>
      </c>
      <c r="N37" s="26">
        <f t="shared" si="9"/>
        <v>17746.899999999998</v>
      </c>
    </row>
    <row r="38" spans="1:14" ht="24" customHeight="1">
      <c r="A38" s="22">
        <v>29</v>
      </c>
      <c r="B38" s="28" t="s">
        <v>72</v>
      </c>
      <c r="C38" s="24">
        <v>16385.8</v>
      </c>
      <c r="D38" s="25">
        <v>4805.1</v>
      </c>
      <c r="E38" s="25">
        <v>1434.3</v>
      </c>
      <c r="F38" s="19">
        <f t="shared" si="10"/>
        <v>29.84953486920147</v>
      </c>
      <c r="G38" s="25">
        <v>4117.3</v>
      </c>
      <c r="H38" s="25">
        <v>1797.7</v>
      </c>
      <c r="I38" s="19">
        <f t="shared" si="6"/>
        <v>43.662108663444485</v>
      </c>
      <c r="J38" s="25">
        <f t="shared" si="7"/>
        <v>8922.400000000001</v>
      </c>
      <c r="K38" s="25">
        <f t="shared" si="8"/>
        <v>3232</v>
      </c>
      <c r="L38" s="19">
        <f t="shared" si="11"/>
        <v>36.223437640096826</v>
      </c>
      <c r="M38" s="19">
        <f t="shared" si="4"/>
        <v>5690.4000000000015</v>
      </c>
      <c r="N38" s="26">
        <f t="shared" si="9"/>
        <v>22076.2</v>
      </c>
    </row>
    <row r="39" spans="1:14" ht="36.75" customHeight="1">
      <c r="A39" s="22">
        <v>30</v>
      </c>
      <c r="B39" s="28" t="s">
        <v>96</v>
      </c>
      <c r="C39" s="24">
        <v>50000.1</v>
      </c>
      <c r="D39" s="25">
        <v>10957.8</v>
      </c>
      <c r="E39" s="25">
        <v>6674.9</v>
      </c>
      <c r="F39" s="19">
        <f t="shared" si="10"/>
        <v>60.91459964591432</v>
      </c>
      <c r="G39" s="25">
        <v>14338.4</v>
      </c>
      <c r="H39" s="25">
        <v>6867.9</v>
      </c>
      <c r="I39" s="19">
        <f t="shared" si="6"/>
        <v>47.89864977961278</v>
      </c>
      <c r="J39" s="25">
        <f t="shared" si="7"/>
        <v>25296.199999999997</v>
      </c>
      <c r="K39" s="25">
        <f t="shared" si="8"/>
        <v>13542.8</v>
      </c>
      <c r="L39" s="19">
        <f t="shared" si="11"/>
        <v>53.53689486958516</v>
      </c>
      <c r="M39" s="19">
        <f t="shared" si="4"/>
        <v>11753.399999999998</v>
      </c>
      <c r="N39" s="26">
        <f t="shared" si="9"/>
        <v>61753.499999999985</v>
      </c>
    </row>
    <row r="40" spans="1:14" ht="24" customHeight="1">
      <c r="A40" s="22">
        <v>31</v>
      </c>
      <c r="B40" s="28" t="s">
        <v>73</v>
      </c>
      <c r="C40" s="24">
        <v>312.4</v>
      </c>
      <c r="D40" s="25">
        <v>19.3</v>
      </c>
      <c r="E40" s="25">
        <v>14.6</v>
      </c>
      <c r="F40" s="19">
        <f t="shared" si="10"/>
        <v>75.64766839378237</v>
      </c>
      <c r="G40" s="25">
        <v>21</v>
      </c>
      <c r="H40" s="25">
        <v>13.4</v>
      </c>
      <c r="I40" s="19">
        <f t="shared" si="6"/>
        <v>63.80952380952382</v>
      </c>
      <c r="J40" s="25">
        <f t="shared" si="7"/>
        <v>40.3</v>
      </c>
      <c r="K40" s="25">
        <f t="shared" si="8"/>
        <v>28</v>
      </c>
      <c r="L40" s="19">
        <f t="shared" si="11"/>
        <v>69.4789081885856</v>
      </c>
      <c r="M40" s="19">
        <f t="shared" si="4"/>
        <v>12.299999999999997</v>
      </c>
      <c r="N40" s="26">
        <f t="shared" si="9"/>
        <v>324.7</v>
      </c>
    </row>
    <row r="41" spans="1:14" s="104" customFormat="1" ht="37.5">
      <c r="A41" s="105">
        <v>32</v>
      </c>
      <c r="B41" s="100" t="s">
        <v>74</v>
      </c>
      <c r="C41" s="101">
        <v>22121</v>
      </c>
      <c r="D41" s="102">
        <v>6276.6</v>
      </c>
      <c r="E41" s="102">
        <v>4496.5</v>
      </c>
      <c r="F41" s="19">
        <f t="shared" si="10"/>
        <v>71.63910397348883</v>
      </c>
      <c r="G41" s="102">
        <v>5848.9</v>
      </c>
      <c r="H41" s="102">
        <v>4260</v>
      </c>
      <c r="I41" s="117">
        <f t="shared" si="6"/>
        <v>72.83420814170186</v>
      </c>
      <c r="J41" s="25">
        <f t="shared" si="7"/>
        <v>12125.5</v>
      </c>
      <c r="K41" s="25">
        <f t="shared" si="8"/>
        <v>8756.5</v>
      </c>
      <c r="L41" s="117">
        <f t="shared" si="11"/>
        <v>72.21557873902107</v>
      </c>
      <c r="M41" s="19">
        <f t="shared" si="4"/>
        <v>3369</v>
      </c>
      <c r="N41" s="26">
        <f t="shared" si="9"/>
        <v>25490</v>
      </c>
    </row>
    <row r="42" spans="1:14" ht="24" customHeight="1">
      <c r="A42" s="22">
        <v>33</v>
      </c>
      <c r="B42" s="28" t="s">
        <v>75</v>
      </c>
      <c r="C42" s="24">
        <v>8094.6</v>
      </c>
      <c r="D42" s="25">
        <v>5578.2</v>
      </c>
      <c r="E42" s="25">
        <v>4165.2</v>
      </c>
      <c r="F42" s="19">
        <f t="shared" si="10"/>
        <v>74.66924814456276</v>
      </c>
      <c r="G42" s="25">
        <v>4735.2</v>
      </c>
      <c r="H42" s="25">
        <v>4138.7</v>
      </c>
      <c r="I42" s="19">
        <f t="shared" si="6"/>
        <v>87.40285521202907</v>
      </c>
      <c r="J42" s="25">
        <f t="shared" si="7"/>
        <v>10313.4</v>
      </c>
      <c r="K42" s="25">
        <f t="shared" si="8"/>
        <v>8303.9</v>
      </c>
      <c r="L42" s="19">
        <f t="shared" si="11"/>
        <v>80.51563984718909</v>
      </c>
      <c r="M42" s="19">
        <f t="shared" si="4"/>
        <v>2009.5</v>
      </c>
      <c r="N42" s="26">
        <f t="shared" si="9"/>
        <v>10104.1</v>
      </c>
    </row>
    <row r="43" spans="1:14" s="21" customFormat="1" ht="24.75" customHeight="1">
      <c r="A43" s="47">
        <v>34</v>
      </c>
      <c r="B43" s="48" t="s">
        <v>76</v>
      </c>
      <c r="C43" s="49">
        <f>C44</f>
        <v>1254460</v>
      </c>
      <c r="D43" s="49">
        <f>D44</f>
        <v>524454</v>
      </c>
      <c r="E43" s="49">
        <f>E44</f>
        <v>291820</v>
      </c>
      <c r="F43" s="19">
        <f t="shared" si="10"/>
        <v>55.64263024021172</v>
      </c>
      <c r="G43" s="49">
        <f>G44</f>
        <v>477330</v>
      </c>
      <c r="H43" s="49">
        <f>H44</f>
        <v>330387</v>
      </c>
      <c r="I43" s="19">
        <f>H43/G43*100</f>
        <v>69.21563698070517</v>
      </c>
      <c r="J43" s="49">
        <f>J44</f>
        <v>1001784</v>
      </c>
      <c r="K43" s="49">
        <f>K44</f>
        <v>622207</v>
      </c>
      <c r="L43" s="19">
        <f t="shared" si="11"/>
        <v>62.109895945632985</v>
      </c>
      <c r="M43" s="50">
        <f>M44</f>
        <v>379577</v>
      </c>
      <c r="N43" s="50">
        <f>N44</f>
        <v>1634037</v>
      </c>
    </row>
    <row r="44" spans="1:14" s="21" customFormat="1" ht="24.75" customHeight="1">
      <c r="A44" s="47"/>
      <c r="B44" s="23" t="s">
        <v>77</v>
      </c>
      <c r="C44" s="24">
        <v>1254460</v>
      </c>
      <c r="D44" s="25">
        <v>524454</v>
      </c>
      <c r="E44" s="25">
        <v>291820</v>
      </c>
      <c r="F44" s="19">
        <f t="shared" si="10"/>
        <v>55.64263024021172</v>
      </c>
      <c r="G44" s="25">
        <v>477330</v>
      </c>
      <c r="H44" s="25">
        <v>330387</v>
      </c>
      <c r="I44" s="19">
        <f t="shared" si="6"/>
        <v>69.21563698070517</v>
      </c>
      <c r="J44" s="25">
        <f>D44+G44</f>
        <v>1001784</v>
      </c>
      <c r="K44" s="25">
        <f>E44+H44</f>
        <v>622207</v>
      </c>
      <c r="L44" s="19">
        <f t="shared" si="11"/>
        <v>62.109895945632985</v>
      </c>
      <c r="M44" s="19">
        <f t="shared" si="4"/>
        <v>379577</v>
      </c>
      <c r="N44" s="26">
        <f t="shared" si="9"/>
        <v>1634037</v>
      </c>
    </row>
    <row r="45" spans="1:14" s="21" customFormat="1" ht="24.75" customHeight="1">
      <c r="A45" s="47"/>
      <c r="B45" s="23" t="s">
        <v>69</v>
      </c>
      <c r="C45" s="24"/>
      <c r="D45" s="30"/>
      <c r="E45" s="30"/>
      <c r="F45" s="31" t="e">
        <f t="shared" si="10"/>
        <v>#DIV/0!</v>
      </c>
      <c r="G45" s="30"/>
      <c r="H45" s="30"/>
      <c r="I45" s="31" t="e">
        <f t="shared" si="6"/>
        <v>#DIV/0!</v>
      </c>
      <c r="J45" s="30"/>
      <c r="K45" s="30"/>
      <c r="L45" s="31" t="e">
        <f>K45/J45*100</f>
        <v>#DIV/0!</v>
      </c>
      <c r="M45" s="31"/>
      <c r="N45" s="32">
        <f>C45+D45-E45</f>
        <v>0</v>
      </c>
    </row>
    <row r="46" spans="1:14" s="21" customFormat="1" ht="24.75" customHeight="1">
      <c r="A46" s="47"/>
      <c r="B46" s="48" t="s">
        <v>78</v>
      </c>
      <c r="C46" s="49">
        <f>C7+C43</f>
        <v>1439180.53</v>
      </c>
      <c r="D46" s="26">
        <f>D7+D43</f>
        <v>575013.9</v>
      </c>
      <c r="E46" s="26">
        <f>E7+E43</f>
        <v>322737.7</v>
      </c>
      <c r="F46" s="19">
        <f t="shared" si="10"/>
        <v>56.12693884443489</v>
      </c>
      <c r="G46" s="26">
        <f>G7+G43</f>
        <v>524292.2</v>
      </c>
      <c r="H46" s="26">
        <f>H7+H43</f>
        <v>362303.1</v>
      </c>
      <c r="I46" s="19">
        <f>H46/G46*100</f>
        <v>69.10327866788786</v>
      </c>
      <c r="J46" s="26">
        <f>J7+J43</f>
        <v>1099306.1</v>
      </c>
      <c r="K46" s="26">
        <f>K7+K43</f>
        <v>685040.8</v>
      </c>
      <c r="L46" s="19">
        <f>K46/J46*100</f>
        <v>62.31574626939667</v>
      </c>
      <c r="M46" s="50">
        <f>M7+M43</f>
        <v>414265.3</v>
      </c>
      <c r="N46" s="50">
        <f>N7+N43</f>
        <v>1853445.83</v>
      </c>
    </row>
    <row r="47" spans="1:14" s="21" customFormat="1" ht="24.75" customHeight="1">
      <c r="A47" s="51"/>
      <c r="B47" s="52"/>
      <c r="C47" s="53"/>
      <c r="D47" s="54"/>
      <c r="E47" s="55"/>
      <c r="F47" s="55"/>
      <c r="G47" s="55"/>
      <c r="H47" s="55"/>
      <c r="I47" s="55"/>
      <c r="J47" s="54"/>
      <c r="K47" s="55"/>
      <c r="L47" s="55"/>
      <c r="M47" s="55"/>
      <c r="N47" s="56"/>
    </row>
    <row r="48" spans="1:14" s="21" customFormat="1" ht="15.75" customHeight="1" hidden="1">
      <c r="A48" s="47"/>
      <c r="B48" s="21" t="s">
        <v>82</v>
      </c>
      <c r="C48" s="5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7"/>
    </row>
    <row r="49" spans="1:14" s="21" customFormat="1" ht="6" customHeight="1" hidden="1">
      <c r="A49" s="51"/>
      <c r="C49" s="5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7"/>
    </row>
    <row r="50" spans="1:14" s="21" customFormat="1" ht="18" customHeight="1" hidden="1">
      <c r="A50" s="47"/>
      <c r="B50" s="21" t="s">
        <v>83</v>
      </c>
      <c r="C50" s="53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7"/>
    </row>
    <row r="51" spans="1:16" ht="73.5" customHeight="1" hidden="1">
      <c r="A51" s="186" t="s">
        <v>100</v>
      </c>
      <c r="B51" s="186"/>
      <c r="C51" s="186"/>
      <c r="D51" s="58"/>
      <c r="E51" s="58"/>
      <c r="F51" s="59"/>
      <c r="G51" s="56"/>
      <c r="H51" s="56"/>
      <c r="I51" s="59"/>
      <c r="J51" s="58"/>
      <c r="K51" s="58"/>
      <c r="L51" s="59"/>
      <c r="M51" s="56"/>
      <c r="N51" s="61" t="s">
        <v>98</v>
      </c>
      <c r="O51" s="59"/>
      <c r="P51" s="61" t="s">
        <v>98</v>
      </c>
    </row>
    <row r="52" spans="3:14" ht="24.75" customHeight="1" hidden="1">
      <c r="C52" s="62"/>
      <c r="D52" s="56"/>
      <c r="E52" s="56"/>
      <c r="F52" s="59"/>
      <c r="G52" s="56"/>
      <c r="H52" s="56"/>
      <c r="I52" s="59"/>
      <c r="J52" s="56"/>
      <c r="K52" s="56"/>
      <c r="L52" s="59"/>
      <c r="M52" s="56"/>
      <c r="N52" s="56"/>
    </row>
    <row r="53" spans="1:14" s="5" customFormat="1" ht="80.25" customHeight="1">
      <c r="A53" s="1"/>
      <c r="B53" s="185" t="s">
        <v>102</v>
      </c>
      <c r="C53" s="185"/>
      <c r="D53" s="2"/>
      <c r="E53" s="2"/>
      <c r="F53" s="212"/>
      <c r="G53" s="3"/>
      <c r="H53" s="3"/>
      <c r="I53" s="212"/>
      <c r="J53" s="2"/>
      <c r="K53" s="2"/>
      <c r="L53" s="212"/>
      <c r="M53" s="3"/>
      <c r="N53" s="4" t="s">
        <v>101</v>
      </c>
    </row>
    <row r="54" spans="3:14" ht="18.75">
      <c r="C54" s="64"/>
      <c r="D54" s="65"/>
      <c r="E54" s="65"/>
      <c r="F54" s="213"/>
      <c r="G54" s="65"/>
      <c r="H54" s="65"/>
      <c r="I54" s="213"/>
      <c r="J54" s="65"/>
      <c r="K54" s="65"/>
      <c r="L54" s="213"/>
      <c r="M54" s="65"/>
      <c r="N54" s="65"/>
    </row>
    <row r="55" spans="2:14" ht="18.75">
      <c r="B55" s="8" t="s">
        <v>39</v>
      </c>
      <c r="C55" s="66">
        <v>1256.9</v>
      </c>
      <c r="D55" s="25">
        <v>1154.2</v>
      </c>
      <c r="E55" s="25">
        <v>1213.3</v>
      </c>
      <c r="F55" s="19"/>
      <c r="G55" s="25">
        <v>142.7</v>
      </c>
      <c r="H55" s="25">
        <v>103.3</v>
      </c>
      <c r="I55" s="19"/>
      <c r="J55" s="25">
        <v>1154.2</v>
      </c>
      <c r="K55" s="25">
        <v>1213.3</v>
      </c>
      <c r="L55" s="19"/>
      <c r="M55" s="25"/>
      <c r="N55" s="26">
        <f>C55+D55-E55</f>
        <v>1197.8000000000004</v>
      </c>
    </row>
    <row r="56" spans="2:14" ht="18.75">
      <c r="B56" s="8" t="s">
        <v>40</v>
      </c>
      <c r="C56" s="64">
        <v>1174.8</v>
      </c>
      <c r="D56" s="65">
        <v>1415.7</v>
      </c>
      <c r="E56" s="65">
        <v>1436.1</v>
      </c>
      <c r="F56" s="213"/>
      <c r="G56" s="65"/>
      <c r="H56" s="65"/>
      <c r="I56" s="213"/>
      <c r="J56" s="65">
        <v>1415.7</v>
      </c>
      <c r="K56" s="65">
        <v>1436.1</v>
      </c>
      <c r="L56" s="213"/>
      <c r="M56" s="65"/>
      <c r="N56" s="26">
        <f>C56+D56-E56</f>
        <v>1154.4</v>
      </c>
    </row>
    <row r="57" spans="3:14" ht="18.75">
      <c r="C57" s="64"/>
      <c r="D57" s="65"/>
      <c r="E57" s="65"/>
      <c r="F57" s="213"/>
      <c r="G57" s="65"/>
      <c r="H57" s="65"/>
      <c r="I57" s="213"/>
      <c r="J57" s="65"/>
      <c r="K57" s="65"/>
      <c r="L57" s="213"/>
      <c r="M57" s="65"/>
      <c r="N57" s="65"/>
    </row>
    <row r="58" spans="3:14" ht="18.75">
      <c r="C58" s="64"/>
      <c r="D58" s="65"/>
      <c r="E58" s="65"/>
      <c r="F58" s="213"/>
      <c r="G58" s="65"/>
      <c r="H58" s="65"/>
      <c r="I58" s="213"/>
      <c r="J58" s="65"/>
      <c r="K58" s="65"/>
      <c r="L58" s="213"/>
      <c r="M58" s="65"/>
      <c r="N58" s="65"/>
    </row>
    <row r="59" spans="2:14" ht="18.75">
      <c r="B59" s="8" t="s">
        <v>41</v>
      </c>
      <c r="C59" s="64">
        <f>C9+C17+C20+C26+C36+C38+C40</f>
        <v>24375.9</v>
      </c>
      <c r="D59" s="65"/>
      <c r="E59" s="65"/>
      <c r="F59" s="213"/>
      <c r="G59" s="65"/>
      <c r="H59" s="65"/>
      <c r="I59" s="213"/>
      <c r="J59" s="65"/>
      <c r="K59" s="65"/>
      <c r="L59" s="213"/>
      <c r="M59" s="65"/>
      <c r="N59" s="65">
        <f>N9+N17+N20+N26+N36+N38+N40</f>
        <v>30796.3</v>
      </c>
    </row>
    <row r="60" spans="2:14" ht="18.75">
      <c r="B60" s="8" t="s">
        <v>42</v>
      </c>
      <c r="C60" s="64">
        <f>C11+C13+C14+C16+C18+C19+C25</f>
        <v>3041.4</v>
      </c>
      <c r="D60" s="65"/>
      <c r="E60" s="65"/>
      <c r="F60" s="213"/>
      <c r="G60" s="65"/>
      <c r="H60" s="65"/>
      <c r="I60" s="213"/>
      <c r="J60" s="65"/>
      <c r="K60" s="65"/>
      <c r="L60" s="213"/>
      <c r="M60" s="65"/>
      <c r="N60" s="65">
        <f>N11+N13+N14+N16+N18+N19+N25</f>
        <v>3034.2000000000003</v>
      </c>
    </row>
    <row r="61" spans="3:14" ht="18.75">
      <c r="C61" s="64"/>
      <c r="D61" s="65"/>
      <c r="E61" s="65"/>
      <c r="F61" s="213"/>
      <c r="G61" s="65"/>
      <c r="H61" s="65"/>
      <c r="I61" s="213"/>
      <c r="J61" s="65"/>
      <c r="K61" s="65"/>
      <c r="L61" s="213"/>
      <c r="M61" s="65"/>
      <c r="N61" s="65"/>
    </row>
    <row r="62" spans="3:14" ht="18.75">
      <c r="C62" s="64"/>
      <c r="D62" s="65"/>
      <c r="E62" s="65"/>
      <c r="F62" s="213"/>
      <c r="G62" s="65"/>
      <c r="H62" s="65"/>
      <c r="I62" s="213"/>
      <c r="J62" s="65"/>
      <c r="K62" s="65"/>
      <c r="L62" s="213"/>
      <c r="M62" s="65"/>
      <c r="N62" s="65"/>
    </row>
    <row r="63" spans="3:14" ht="18.75">
      <c r="C63" s="64"/>
      <c r="D63" s="65"/>
      <c r="E63" s="65"/>
      <c r="F63" s="213"/>
      <c r="G63" s="65"/>
      <c r="H63" s="65"/>
      <c r="I63" s="213"/>
      <c r="J63" s="65"/>
      <c r="K63" s="65"/>
      <c r="L63" s="213"/>
      <c r="M63" s="65"/>
      <c r="N63" s="65"/>
    </row>
    <row r="64" spans="3:14" ht="18.75">
      <c r="C64" s="64"/>
      <c r="D64" s="65"/>
      <c r="E64" s="65"/>
      <c r="F64" s="213"/>
      <c r="G64" s="65"/>
      <c r="H64" s="65"/>
      <c r="I64" s="213"/>
      <c r="J64" s="65"/>
      <c r="K64" s="65"/>
      <c r="L64" s="213"/>
      <c r="M64" s="65"/>
      <c r="N64" s="65"/>
    </row>
    <row r="65" spans="3:14" ht="18.75">
      <c r="C65" s="64"/>
      <c r="D65" s="65"/>
      <c r="E65" s="65"/>
      <c r="F65" s="213"/>
      <c r="G65" s="65"/>
      <c r="H65" s="65"/>
      <c r="I65" s="213"/>
      <c r="J65" s="65"/>
      <c r="K65" s="65"/>
      <c r="L65" s="213"/>
      <c r="M65" s="65"/>
      <c r="N65" s="65"/>
    </row>
    <row r="66" spans="3:14" ht="18.75">
      <c r="C66" s="64"/>
      <c r="D66" s="65"/>
      <c r="E66" s="65"/>
      <c r="F66" s="213"/>
      <c r="G66" s="65"/>
      <c r="H66" s="65"/>
      <c r="I66" s="213"/>
      <c r="J66" s="65"/>
      <c r="K66" s="65"/>
      <c r="L66" s="213"/>
      <c r="M66" s="65"/>
      <c r="N66" s="65"/>
    </row>
    <row r="67" spans="3:14" ht="18.75">
      <c r="C67" s="64"/>
      <c r="D67" s="65"/>
      <c r="E67" s="65"/>
      <c r="F67" s="213"/>
      <c r="G67" s="65"/>
      <c r="H67" s="65"/>
      <c r="I67" s="213"/>
      <c r="J67" s="65"/>
      <c r="K67" s="65"/>
      <c r="L67" s="213"/>
      <c r="M67" s="65"/>
      <c r="N67" s="65"/>
    </row>
    <row r="68" spans="3:14" ht="18.75">
      <c r="C68" s="64"/>
      <c r="D68" s="65"/>
      <c r="E68" s="65"/>
      <c r="F68" s="213"/>
      <c r="G68" s="65"/>
      <c r="H68" s="65"/>
      <c r="I68" s="213"/>
      <c r="J68" s="65"/>
      <c r="K68" s="65"/>
      <c r="L68" s="213"/>
      <c r="M68" s="65"/>
      <c r="N68" s="65"/>
    </row>
    <row r="69" spans="3:14" ht="18.75">
      <c r="C69" s="64"/>
      <c r="D69" s="65"/>
      <c r="E69" s="65"/>
      <c r="F69" s="213"/>
      <c r="G69" s="65"/>
      <c r="H69" s="65"/>
      <c r="I69" s="213"/>
      <c r="J69" s="65"/>
      <c r="K69" s="65"/>
      <c r="L69" s="213"/>
      <c r="M69" s="65"/>
      <c r="N69" s="65"/>
    </row>
    <row r="70" spans="3:14" ht="18.75">
      <c r="C70" s="64"/>
      <c r="D70" s="65"/>
      <c r="E70" s="65"/>
      <c r="F70" s="213"/>
      <c r="G70" s="65"/>
      <c r="H70" s="65"/>
      <c r="I70" s="213"/>
      <c r="J70" s="65"/>
      <c r="K70" s="65"/>
      <c r="L70" s="213"/>
      <c r="M70" s="65"/>
      <c r="N70" s="65"/>
    </row>
    <row r="71" spans="3:14" ht="18.75">
      <c r="C71" s="64"/>
      <c r="D71" s="65"/>
      <c r="E71" s="65"/>
      <c r="F71" s="213"/>
      <c r="G71" s="65"/>
      <c r="H71" s="65"/>
      <c r="I71" s="213"/>
      <c r="J71" s="65"/>
      <c r="K71" s="65"/>
      <c r="L71" s="213"/>
      <c r="M71" s="65"/>
      <c r="N71" s="65"/>
    </row>
    <row r="72" spans="3:14" ht="18.75">
      <c r="C72" s="64"/>
      <c r="D72" s="65"/>
      <c r="E72" s="65"/>
      <c r="F72" s="213"/>
      <c r="G72" s="65"/>
      <c r="H72" s="65"/>
      <c r="I72" s="213"/>
      <c r="J72" s="65"/>
      <c r="K72" s="65"/>
      <c r="L72" s="213"/>
      <c r="M72" s="65"/>
      <c r="N72" s="65"/>
    </row>
    <row r="73" spans="3:14" ht="18.75">
      <c r="C73" s="64"/>
      <c r="D73" s="65"/>
      <c r="E73" s="65"/>
      <c r="F73" s="213"/>
      <c r="G73" s="65"/>
      <c r="H73" s="65"/>
      <c r="I73" s="213"/>
      <c r="J73" s="65"/>
      <c r="K73" s="65"/>
      <c r="L73" s="213"/>
      <c r="M73" s="65"/>
      <c r="N73" s="65"/>
    </row>
    <row r="74" spans="3:14" ht="18.75">
      <c r="C74" s="64"/>
      <c r="D74" s="65"/>
      <c r="E74" s="65"/>
      <c r="F74" s="213"/>
      <c r="G74" s="65"/>
      <c r="H74" s="65"/>
      <c r="I74" s="213"/>
      <c r="J74" s="65"/>
      <c r="K74" s="65"/>
      <c r="L74" s="213"/>
      <c r="M74" s="65"/>
      <c r="N74" s="65"/>
    </row>
    <row r="75" spans="3:14" ht="18.75">
      <c r="C75" s="64"/>
      <c r="D75" s="65"/>
      <c r="E75" s="65"/>
      <c r="F75" s="213"/>
      <c r="G75" s="65"/>
      <c r="H75" s="65"/>
      <c r="I75" s="213"/>
      <c r="J75" s="65"/>
      <c r="K75" s="65"/>
      <c r="L75" s="213"/>
      <c r="M75" s="65"/>
      <c r="N75" s="65"/>
    </row>
    <row r="76" spans="3:14" ht="18.75">
      <c r="C76" s="64"/>
      <c r="D76" s="65"/>
      <c r="E76" s="65"/>
      <c r="F76" s="213"/>
      <c r="G76" s="65"/>
      <c r="H76" s="65"/>
      <c r="I76" s="213"/>
      <c r="J76" s="65"/>
      <c r="K76" s="65"/>
      <c r="L76" s="213"/>
      <c r="M76" s="65"/>
      <c r="N76" s="65"/>
    </row>
    <row r="77" spans="3:14" ht="18.75">
      <c r="C77" s="64"/>
      <c r="D77" s="65"/>
      <c r="E77" s="65"/>
      <c r="F77" s="213"/>
      <c r="G77" s="65"/>
      <c r="H77" s="65"/>
      <c r="I77" s="213"/>
      <c r="J77" s="65"/>
      <c r="K77" s="65"/>
      <c r="L77" s="213"/>
      <c r="M77" s="65"/>
      <c r="N77" s="65"/>
    </row>
    <row r="78" spans="3:14" ht="18.75">
      <c r="C78" s="64"/>
      <c r="D78" s="65"/>
      <c r="E78" s="65"/>
      <c r="F78" s="213"/>
      <c r="G78" s="65"/>
      <c r="H78" s="65"/>
      <c r="I78" s="213"/>
      <c r="J78" s="65"/>
      <c r="K78" s="65"/>
      <c r="L78" s="213"/>
      <c r="M78" s="65"/>
      <c r="N78" s="65"/>
    </row>
    <row r="79" spans="3:14" ht="18.75">
      <c r="C79" s="64"/>
      <c r="D79" s="65"/>
      <c r="E79" s="65"/>
      <c r="F79" s="213"/>
      <c r="G79" s="65"/>
      <c r="H79" s="65"/>
      <c r="I79" s="213"/>
      <c r="J79" s="65"/>
      <c r="K79" s="65"/>
      <c r="L79" s="213"/>
      <c r="M79" s="65"/>
      <c r="N79" s="65"/>
    </row>
    <row r="80" spans="3:14" ht="18.75">
      <c r="C80" s="64"/>
      <c r="D80" s="65"/>
      <c r="E80" s="65"/>
      <c r="F80" s="213"/>
      <c r="G80" s="65"/>
      <c r="H80" s="65"/>
      <c r="I80" s="213"/>
      <c r="J80" s="65"/>
      <c r="K80" s="65"/>
      <c r="L80" s="213"/>
      <c r="M80" s="65"/>
      <c r="N80" s="65"/>
    </row>
    <row r="81" spans="3:14" ht="18.75">
      <c r="C81" s="64"/>
      <c r="D81" s="65"/>
      <c r="E81" s="65"/>
      <c r="F81" s="213"/>
      <c r="G81" s="65"/>
      <c r="H81" s="65"/>
      <c r="I81" s="213"/>
      <c r="J81" s="65"/>
      <c r="K81" s="65"/>
      <c r="L81" s="213"/>
      <c r="M81" s="65"/>
      <c r="N81" s="65"/>
    </row>
    <row r="82" spans="3:14" ht="18.75">
      <c r="C82" s="64"/>
      <c r="D82" s="65"/>
      <c r="E82" s="65"/>
      <c r="F82" s="213"/>
      <c r="G82" s="65"/>
      <c r="H82" s="65"/>
      <c r="I82" s="213"/>
      <c r="J82" s="65"/>
      <c r="K82" s="65"/>
      <c r="L82" s="213"/>
      <c r="M82" s="65"/>
      <c r="N82" s="65"/>
    </row>
    <row r="83" spans="3:14" ht="18.75">
      <c r="C83" s="64"/>
      <c r="D83" s="65"/>
      <c r="E83" s="65"/>
      <c r="F83" s="213"/>
      <c r="G83" s="65"/>
      <c r="H83" s="65"/>
      <c r="I83" s="213"/>
      <c r="J83" s="65"/>
      <c r="K83" s="65"/>
      <c r="L83" s="213"/>
      <c r="M83" s="65"/>
      <c r="N83" s="65"/>
    </row>
    <row r="84" spans="3:14" ht="18.75">
      <c r="C84" s="64"/>
      <c r="D84" s="65"/>
      <c r="E84" s="65"/>
      <c r="F84" s="213"/>
      <c r="G84" s="65"/>
      <c r="H84" s="65"/>
      <c r="I84" s="213"/>
      <c r="J84" s="65"/>
      <c r="K84" s="65"/>
      <c r="L84" s="213"/>
      <c r="M84" s="65"/>
      <c r="N84" s="65"/>
    </row>
    <row r="85" spans="3:14" ht="18.75">
      <c r="C85" s="64"/>
      <c r="D85" s="65"/>
      <c r="E85" s="65"/>
      <c r="F85" s="213"/>
      <c r="G85" s="65"/>
      <c r="H85" s="65"/>
      <c r="I85" s="213"/>
      <c r="J85" s="65"/>
      <c r="K85" s="65"/>
      <c r="L85" s="213"/>
      <c r="M85" s="65"/>
      <c r="N85" s="65"/>
    </row>
    <row r="86" spans="3:14" ht="18.75">
      <c r="C86" s="64"/>
      <c r="D86" s="65"/>
      <c r="E86" s="65"/>
      <c r="F86" s="213"/>
      <c r="G86" s="65"/>
      <c r="H86" s="65"/>
      <c r="I86" s="213"/>
      <c r="J86" s="65"/>
      <c r="K86" s="65"/>
      <c r="L86" s="213"/>
      <c r="M86" s="65"/>
      <c r="N86" s="65"/>
    </row>
    <row r="87" spans="3:14" ht="18.75">
      <c r="C87" s="64"/>
      <c r="D87" s="65"/>
      <c r="E87" s="65"/>
      <c r="F87" s="213"/>
      <c r="G87" s="65"/>
      <c r="H87" s="65"/>
      <c r="I87" s="213"/>
      <c r="J87" s="65"/>
      <c r="K87" s="65"/>
      <c r="L87" s="213"/>
      <c r="M87" s="65"/>
      <c r="N87" s="65"/>
    </row>
    <row r="88" spans="3:14" ht="18.75">
      <c r="C88" s="64"/>
      <c r="D88" s="65"/>
      <c r="E88" s="65"/>
      <c r="F88" s="213"/>
      <c r="G88" s="65"/>
      <c r="H88" s="65"/>
      <c r="I88" s="213"/>
      <c r="J88" s="65"/>
      <c r="K88" s="65"/>
      <c r="L88" s="213"/>
      <c r="M88" s="65"/>
      <c r="N88" s="65"/>
    </row>
    <row r="89" spans="3:14" ht="18.75">
      <c r="C89" s="64"/>
      <c r="D89" s="65"/>
      <c r="E89" s="65"/>
      <c r="F89" s="213"/>
      <c r="G89" s="65"/>
      <c r="H89" s="65"/>
      <c r="I89" s="213"/>
      <c r="J89" s="65"/>
      <c r="K89" s="65"/>
      <c r="L89" s="213"/>
      <c r="M89" s="65"/>
      <c r="N89" s="65"/>
    </row>
    <row r="90" spans="3:14" ht="18.75">
      <c r="C90" s="64"/>
      <c r="D90" s="65"/>
      <c r="E90" s="65"/>
      <c r="F90" s="213"/>
      <c r="G90" s="65"/>
      <c r="H90" s="65"/>
      <c r="I90" s="213"/>
      <c r="J90" s="65"/>
      <c r="K90" s="65"/>
      <c r="L90" s="213"/>
      <c r="M90" s="65"/>
      <c r="N90" s="65"/>
    </row>
    <row r="91" spans="3:14" ht="18.75">
      <c r="C91" s="64"/>
      <c r="D91" s="65"/>
      <c r="E91" s="65"/>
      <c r="F91" s="213"/>
      <c r="G91" s="65"/>
      <c r="H91" s="65"/>
      <c r="I91" s="213"/>
      <c r="J91" s="65"/>
      <c r="K91" s="65"/>
      <c r="L91" s="213"/>
      <c r="M91" s="65"/>
      <c r="N91" s="65"/>
    </row>
    <row r="92" spans="3:14" ht="18.75">
      <c r="C92" s="64"/>
      <c r="D92" s="65"/>
      <c r="E92" s="65"/>
      <c r="F92" s="213"/>
      <c r="G92" s="65"/>
      <c r="H92" s="65"/>
      <c r="I92" s="213"/>
      <c r="J92" s="65"/>
      <c r="K92" s="65"/>
      <c r="L92" s="213"/>
      <c r="M92" s="65"/>
      <c r="N92" s="65"/>
    </row>
    <row r="93" spans="3:14" ht="18.75">
      <c r="C93" s="64"/>
      <c r="D93" s="65"/>
      <c r="E93" s="65"/>
      <c r="F93" s="213"/>
      <c r="G93" s="65"/>
      <c r="H93" s="65"/>
      <c r="I93" s="213"/>
      <c r="J93" s="65"/>
      <c r="K93" s="65"/>
      <c r="L93" s="213"/>
      <c r="M93" s="65"/>
      <c r="N93" s="65"/>
    </row>
    <row r="94" spans="3:14" ht="18.75">
      <c r="C94" s="64"/>
      <c r="D94" s="65"/>
      <c r="E94" s="65"/>
      <c r="F94" s="213"/>
      <c r="G94" s="65"/>
      <c r="H94" s="65"/>
      <c r="I94" s="213"/>
      <c r="J94" s="65"/>
      <c r="K94" s="65"/>
      <c r="L94" s="213"/>
      <c r="M94" s="65"/>
      <c r="N94" s="65"/>
    </row>
    <row r="95" spans="3:14" ht="18.75">
      <c r="C95" s="64"/>
      <c r="D95" s="65"/>
      <c r="E95" s="65"/>
      <c r="F95" s="213"/>
      <c r="G95" s="65"/>
      <c r="H95" s="65"/>
      <c r="I95" s="213"/>
      <c r="J95" s="65"/>
      <c r="K95" s="65"/>
      <c r="L95" s="213"/>
      <c r="M95" s="65"/>
      <c r="N95" s="65"/>
    </row>
    <row r="96" spans="3:14" ht="18.75">
      <c r="C96" s="64"/>
      <c r="D96" s="65"/>
      <c r="E96" s="65"/>
      <c r="F96" s="213"/>
      <c r="G96" s="65"/>
      <c r="H96" s="65"/>
      <c r="I96" s="213"/>
      <c r="J96" s="65"/>
      <c r="K96" s="65"/>
      <c r="L96" s="213"/>
      <c r="M96" s="65"/>
      <c r="N96" s="65"/>
    </row>
    <row r="97" spans="3:14" ht="18.75">
      <c r="C97" s="64"/>
      <c r="D97" s="65"/>
      <c r="E97" s="65"/>
      <c r="F97" s="213"/>
      <c r="G97" s="65"/>
      <c r="H97" s="65"/>
      <c r="I97" s="213"/>
      <c r="J97" s="65"/>
      <c r="K97" s="65"/>
      <c r="L97" s="213"/>
      <c r="M97" s="65"/>
      <c r="N97" s="65"/>
    </row>
    <row r="98" spans="3:14" ht="18.75">
      <c r="C98" s="64"/>
      <c r="D98" s="65"/>
      <c r="E98" s="65"/>
      <c r="F98" s="213"/>
      <c r="G98" s="65"/>
      <c r="H98" s="65"/>
      <c r="I98" s="213"/>
      <c r="J98" s="65"/>
      <c r="K98" s="65"/>
      <c r="L98" s="213"/>
      <c r="M98" s="65"/>
      <c r="N98" s="65"/>
    </row>
    <row r="99" spans="3:14" ht="18.75">
      <c r="C99" s="64"/>
      <c r="D99" s="65"/>
      <c r="E99" s="65"/>
      <c r="F99" s="213"/>
      <c r="G99" s="65"/>
      <c r="H99" s="65"/>
      <c r="I99" s="213"/>
      <c r="J99" s="65"/>
      <c r="K99" s="65"/>
      <c r="L99" s="213"/>
      <c r="M99" s="65"/>
      <c r="N99" s="65"/>
    </row>
    <row r="100" spans="3:14" ht="18.75">
      <c r="C100" s="64"/>
      <c r="D100" s="65"/>
      <c r="E100" s="65"/>
      <c r="F100" s="213"/>
      <c r="G100" s="65"/>
      <c r="H100" s="65"/>
      <c r="I100" s="213"/>
      <c r="J100" s="65"/>
      <c r="K100" s="65"/>
      <c r="L100" s="213"/>
      <c r="M100" s="65"/>
      <c r="N100" s="65"/>
    </row>
    <row r="101" spans="3:14" ht="18.75">
      <c r="C101" s="64"/>
      <c r="D101" s="65"/>
      <c r="E101" s="65"/>
      <c r="F101" s="213"/>
      <c r="G101" s="65"/>
      <c r="H101" s="65"/>
      <c r="I101" s="213"/>
      <c r="J101" s="65"/>
      <c r="K101" s="65"/>
      <c r="L101" s="213"/>
      <c r="M101" s="65"/>
      <c r="N101" s="65"/>
    </row>
    <row r="102" spans="3:14" ht="18.75">
      <c r="C102" s="64"/>
      <c r="D102" s="65"/>
      <c r="E102" s="65"/>
      <c r="F102" s="213"/>
      <c r="G102" s="65"/>
      <c r="H102" s="65"/>
      <c r="I102" s="213"/>
      <c r="J102" s="65"/>
      <c r="K102" s="65"/>
      <c r="L102" s="213"/>
      <c r="M102" s="65"/>
      <c r="N102" s="65"/>
    </row>
  </sheetData>
  <sheetProtection/>
  <mergeCells count="13">
    <mergeCell ref="B53:C53"/>
    <mergeCell ref="A51:C51"/>
    <mergeCell ref="D1:N1"/>
    <mergeCell ref="B4:C4"/>
    <mergeCell ref="B2:N2"/>
    <mergeCell ref="B3:N3"/>
    <mergeCell ref="M5:M6"/>
    <mergeCell ref="D30:L30"/>
    <mergeCell ref="M29:M31"/>
    <mergeCell ref="D5:F5"/>
    <mergeCell ref="N5:N6"/>
    <mergeCell ref="G5:I5"/>
    <mergeCell ref="J5:L5"/>
  </mergeCells>
  <printOptions/>
  <pageMargins left="0" right="0" top="0" bottom="0" header="0" footer="0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2"/>
  <sheetViews>
    <sheetView view="pageBreakPreview" zoomScale="70" zoomScaleNormal="75" zoomScaleSheetLayoutView="70" zoomScalePageLayoutView="0" workbookViewId="0" topLeftCell="A1">
      <pane xSplit="6" ySplit="8" topLeftCell="G38" activePane="bottomRight" state="frozen"/>
      <selection pane="topLeft" activeCell="A1" sqref="A1"/>
      <selection pane="topRight" activeCell="G1" sqref="G1"/>
      <selection pane="bottomLeft" activeCell="A9" sqref="A9"/>
      <selection pane="bottomRight" activeCell="C6" sqref="C6"/>
    </sheetView>
  </sheetViews>
  <sheetFormatPr defaultColWidth="7.875" defaultRowHeight="12.75"/>
  <cols>
    <col min="1" max="1" width="6.125" style="8" customWidth="1"/>
    <col min="2" max="2" width="57.25390625" style="8" customWidth="1"/>
    <col min="3" max="3" width="16.875" style="9" customWidth="1"/>
    <col min="4" max="5" width="19.75390625" style="8" customWidth="1"/>
    <col min="6" max="6" width="13.75390625" style="21" customWidth="1"/>
    <col min="7" max="8" width="14.75390625" style="8" customWidth="1"/>
    <col min="9" max="9" width="11.875" style="21" customWidth="1"/>
    <col min="10" max="10" width="18.75390625" style="8" customWidth="1"/>
    <col min="11" max="11" width="19.875" style="8" customWidth="1"/>
    <col min="12" max="12" width="13.75390625" style="21" customWidth="1"/>
    <col min="13" max="13" width="19.75390625" style="8" customWidth="1"/>
    <col min="14" max="14" width="22.625" style="8" customWidth="1"/>
    <col min="15" max="15" width="14.00390625" style="95" customWidth="1"/>
    <col min="16" max="16" width="15.00390625" style="96" customWidth="1"/>
    <col min="17" max="17" width="13.75390625" style="96" customWidth="1"/>
    <col min="18" max="24" width="7.875" style="96" customWidth="1"/>
    <col min="25" max="16384" width="7.875" style="8" customWidth="1"/>
  </cols>
  <sheetData>
    <row r="1" spans="4:14" ht="21" customHeight="1"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2:14" ht="18.75">
      <c r="B2" s="188" t="s">
        <v>92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2:14" ht="18.75">
      <c r="B3" s="169" t="s">
        <v>112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2:14" ht="18.75">
      <c r="B4" s="187"/>
      <c r="C4" s="187"/>
      <c r="N4" s="10" t="s">
        <v>48</v>
      </c>
    </row>
    <row r="5" spans="1:24" ht="36.75" customHeight="1">
      <c r="A5" s="11" t="s">
        <v>36</v>
      </c>
      <c r="B5" s="12"/>
      <c r="C5" s="131" t="s">
        <v>1</v>
      </c>
      <c r="D5" s="171" t="s">
        <v>114</v>
      </c>
      <c r="E5" s="172"/>
      <c r="F5" s="173"/>
      <c r="G5" s="182" t="s">
        <v>116</v>
      </c>
      <c r="H5" s="183"/>
      <c r="I5" s="184"/>
      <c r="J5" s="171" t="s">
        <v>117</v>
      </c>
      <c r="K5" s="172"/>
      <c r="L5" s="173"/>
      <c r="M5" s="167" t="s">
        <v>118</v>
      </c>
      <c r="N5" s="167" t="s">
        <v>113</v>
      </c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55.5" customHeight="1">
      <c r="A6" s="14" t="s">
        <v>9</v>
      </c>
      <c r="B6" s="133" t="s">
        <v>46</v>
      </c>
      <c r="C6" s="113" t="s">
        <v>107</v>
      </c>
      <c r="D6" s="13" t="s">
        <v>115</v>
      </c>
      <c r="E6" s="13" t="s">
        <v>47</v>
      </c>
      <c r="F6" s="15" t="s">
        <v>0</v>
      </c>
      <c r="G6" s="13" t="s">
        <v>115</v>
      </c>
      <c r="H6" s="13" t="s">
        <v>47</v>
      </c>
      <c r="I6" s="15" t="s">
        <v>0</v>
      </c>
      <c r="J6" s="13" t="s">
        <v>115</v>
      </c>
      <c r="K6" s="13" t="s">
        <v>47</v>
      </c>
      <c r="L6" s="15" t="s">
        <v>0</v>
      </c>
      <c r="M6" s="168"/>
      <c r="N6" s="16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s="21" customFormat="1" ht="36" customHeight="1">
      <c r="A7" s="88"/>
      <c r="B7" s="89" t="s">
        <v>6</v>
      </c>
      <c r="C7" s="18">
        <f>SUM(C8:C42)</f>
        <v>9842.900000000001</v>
      </c>
      <c r="D7" s="19">
        <f>SUM(D8:D42)</f>
        <v>4168</v>
      </c>
      <c r="E7" s="19">
        <f>SUM(E8:E42)</f>
        <v>6370.5</v>
      </c>
      <c r="F7" s="19">
        <f aca="true" t="shared" si="0" ref="F7:F44">E7/D7*100</f>
        <v>152.84309021113245</v>
      </c>
      <c r="G7" s="19">
        <f>SUM(G8:G42)</f>
        <v>4139</v>
      </c>
      <c r="H7" s="19">
        <f>SUM(H8:H42)</f>
        <v>1614</v>
      </c>
      <c r="I7" s="19">
        <f>H7/G7*100</f>
        <v>38.99492631070307</v>
      </c>
      <c r="J7" s="19">
        <f>SUM(J8:J42)</f>
        <v>8307</v>
      </c>
      <c r="K7" s="19">
        <f>SUM(K8:K42)</f>
        <v>7984.5</v>
      </c>
      <c r="L7" s="19">
        <f>K7/J7*100</f>
        <v>96.117732033225</v>
      </c>
      <c r="M7" s="20">
        <f>SUM(M8:M42)</f>
        <v>322.5</v>
      </c>
      <c r="N7" s="20">
        <f>SUM(N8:N42)</f>
        <v>10165.399999999998</v>
      </c>
      <c r="O7" s="97"/>
      <c r="P7" s="52"/>
      <c r="Q7" s="57"/>
      <c r="R7" s="52"/>
      <c r="S7" s="52"/>
      <c r="T7" s="52"/>
      <c r="U7" s="52"/>
      <c r="V7" s="52"/>
      <c r="W7" s="52"/>
      <c r="X7" s="52"/>
    </row>
    <row r="8" spans="1:17" ht="36.75" customHeight="1">
      <c r="A8" s="90">
        <v>1</v>
      </c>
      <c r="B8" s="23" t="s">
        <v>12</v>
      </c>
      <c r="C8" s="24">
        <v>909.4</v>
      </c>
      <c r="D8" s="25">
        <v>310.3</v>
      </c>
      <c r="E8" s="25">
        <v>427.7</v>
      </c>
      <c r="F8" s="19">
        <f t="shared" si="0"/>
        <v>137.8343538511118</v>
      </c>
      <c r="G8" s="25">
        <v>395.3</v>
      </c>
      <c r="H8" s="25">
        <v>0</v>
      </c>
      <c r="I8" s="19">
        <f>H8/G8*100</f>
        <v>0</v>
      </c>
      <c r="J8" s="25">
        <f>D8+G8</f>
        <v>705.6</v>
      </c>
      <c r="K8" s="25">
        <f>E8+H8</f>
        <v>427.7</v>
      </c>
      <c r="L8" s="19">
        <f>K8/J8*100</f>
        <v>60.61507936507936</v>
      </c>
      <c r="M8" s="19">
        <f>J8-K8</f>
        <v>277.90000000000003</v>
      </c>
      <c r="N8" s="26">
        <f>C8+J8-K8</f>
        <v>1187.3</v>
      </c>
      <c r="O8" s="98"/>
      <c r="Q8" s="57"/>
    </row>
    <row r="9" spans="1:17" ht="41.25" customHeight="1">
      <c r="A9" s="90">
        <v>2</v>
      </c>
      <c r="B9" s="27" t="s">
        <v>35</v>
      </c>
      <c r="C9" s="24">
        <v>19.7</v>
      </c>
      <c r="D9" s="25">
        <v>7.7</v>
      </c>
      <c r="E9" s="25">
        <v>5.4</v>
      </c>
      <c r="F9" s="19">
        <f t="shared" si="0"/>
        <v>70.12987012987013</v>
      </c>
      <c r="G9" s="25">
        <v>8.5</v>
      </c>
      <c r="H9" s="25">
        <v>0</v>
      </c>
      <c r="I9" s="19">
        <f aca="true" t="shared" si="1" ref="I9:I21">H9/G9*100</f>
        <v>0</v>
      </c>
      <c r="J9" s="25">
        <f aca="true" t="shared" si="2" ref="J9:K19">D9+G9</f>
        <v>16.2</v>
      </c>
      <c r="K9" s="25">
        <f t="shared" si="2"/>
        <v>5.4</v>
      </c>
      <c r="L9" s="19">
        <f>K9/J9*100</f>
        <v>33.333333333333336</v>
      </c>
      <c r="M9" s="19">
        <f aca="true" t="shared" si="3" ref="M9:M44">J9-K9</f>
        <v>10.799999999999999</v>
      </c>
      <c r="N9" s="26">
        <f>C9+J9-K9</f>
        <v>30.5</v>
      </c>
      <c r="O9" s="98"/>
      <c r="Q9" s="57"/>
    </row>
    <row r="10" spans="1:17" ht="35.25" customHeight="1">
      <c r="A10" s="90">
        <v>3</v>
      </c>
      <c r="B10" s="28" t="s">
        <v>97</v>
      </c>
      <c r="C10" s="24"/>
      <c r="D10" s="30"/>
      <c r="E10" s="30"/>
      <c r="F10" s="31" t="e">
        <f t="shared" si="0"/>
        <v>#DIV/0!</v>
      </c>
      <c r="G10" s="30"/>
      <c r="H10" s="30"/>
      <c r="I10" s="31" t="e">
        <f t="shared" si="1"/>
        <v>#DIV/0!</v>
      </c>
      <c r="J10" s="25"/>
      <c r="K10" s="25"/>
      <c r="L10" s="31" t="e">
        <f>K10/J10*100</f>
        <v>#DIV/0!</v>
      </c>
      <c r="M10" s="19"/>
      <c r="N10" s="32">
        <f>C10+D10-E10</f>
        <v>0</v>
      </c>
      <c r="O10" s="98"/>
      <c r="Q10" s="57"/>
    </row>
    <row r="11" spans="1:17" ht="24" customHeight="1">
      <c r="A11" s="90">
        <v>4</v>
      </c>
      <c r="B11" s="23" t="s">
        <v>109</v>
      </c>
      <c r="C11" s="24"/>
      <c r="D11" s="25"/>
      <c r="E11" s="25"/>
      <c r="F11" s="31"/>
      <c r="G11" s="25"/>
      <c r="H11" s="25"/>
      <c r="I11" s="31" t="e">
        <f t="shared" si="1"/>
        <v>#DIV/0!</v>
      </c>
      <c r="J11" s="25"/>
      <c r="K11" s="25"/>
      <c r="L11" s="31"/>
      <c r="M11" s="19"/>
      <c r="N11" s="26"/>
      <c r="O11" s="98"/>
      <c r="Q11" s="57"/>
    </row>
    <row r="12" spans="1:17" ht="24" customHeight="1">
      <c r="A12" s="90">
        <v>5</v>
      </c>
      <c r="B12" s="23" t="s">
        <v>13</v>
      </c>
      <c r="C12" s="24">
        <v>119.6</v>
      </c>
      <c r="D12" s="25">
        <v>58.5</v>
      </c>
      <c r="E12" s="25">
        <v>119.6</v>
      </c>
      <c r="F12" s="19">
        <f t="shared" si="0"/>
        <v>204.44444444444443</v>
      </c>
      <c r="G12" s="25">
        <v>52</v>
      </c>
      <c r="H12" s="25">
        <v>0</v>
      </c>
      <c r="I12" s="19">
        <f t="shared" si="1"/>
        <v>0</v>
      </c>
      <c r="J12" s="25">
        <f t="shared" si="2"/>
        <v>110.5</v>
      </c>
      <c r="K12" s="25">
        <f t="shared" si="2"/>
        <v>119.6</v>
      </c>
      <c r="L12" s="19">
        <f aca="true" t="shared" si="4" ref="L12:L22">K12/J12*100</f>
        <v>108.23529411764706</v>
      </c>
      <c r="M12" s="19">
        <f t="shared" si="3"/>
        <v>-9.099999999999994</v>
      </c>
      <c r="N12" s="26">
        <f>C12+J12-K12</f>
        <v>110.5</v>
      </c>
      <c r="O12" s="98"/>
      <c r="Q12" s="57"/>
    </row>
    <row r="13" spans="1:17" ht="24" customHeight="1">
      <c r="A13" s="90">
        <v>6</v>
      </c>
      <c r="B13" s="23" t="s">
        <v>14</v>
      </c>
      <c r="C13" s="24"/>
      <c r="D13" s="25"/>
      <c r="E13" s="25"/>
      <c r="F13" s="19"/>
      <c r="G13" s="25"/>
      <c r="H13" s="25"/>
      <c r="I13" s="19"/>
      <c r="J13" s="25"/>
      <c r="K13" s="25"/>
      <c r="L13" s="19"/>
      <c r="M13" s="19"/>
      <c r="N13" s="26"/>
      <c r="O13" s="98"/>
      <c r="Q13" s="57"/>
    </row>
    <row r="14" spans="1:17" ht="24" customHeight="1">
      <c r="A14" s="90">
        <v>7</v>
      </c>
      <c r="B14" s="23" t="s">
        <v>15</v>
      </c>
      <c r="C14" s="24"/>
      <c r="D14" s="30"/>
      <c r="E14" s="30"/>
      <c r="F14" s="214"/>
      <c r="G14" s="30"/>
      <c r="H14" s="30"/>
      <c r="I14" s="31"/>
      <c r="J14" s="25"/>
      <c r="K14" s="25"/>
      <c r="L14" s="31"/>
      <c r="M14" s="19"/>
      <c r="N14" s="26"/>
      <c r="O14" s="98"/>
      <c r="Q14" s="57"/>
    </row>
    <row r="15" spans="1:17" ht="24" customHeight="1">
      <c r="A15" s="90">
        <v>8</v>
      </c>
      <c r="B15" s="23" t="s">
        <v>16</v>
      </c>
      <c r="C15" s="24">
        <v>185.2</v>
      </c>
      <c r="D15" s="25">
        <v>98.2</v>
      </c>
      <c r="E15" s="25">
        <v>82</v>
      </c>
      <c r="F15" s="19">
        <f t="shared" si="0"/>
        <v>83.50305498981669</v>
      </c>
      <c r="G15" s="25">
        <v>81.8</v>
      </c>
      <c r="H15" s="25">
        <v>0</v>
      </c>
      <c r="I15" s="19">
        <f t="shared" si="1"/>
        <v>0</v>
      </c>
      <c r="J15" s="25">
        <f t="shared" si="2"/>
        <v>180</v>
      </c>
      <c r="K15" s="25">
        <f t="shared" si="2"/>
        <v>82</v>
      </c>
      <c r="L15" s="19">
        <f t="shared" si="4"/>
        <v>45.55555555555556</v>
      </c>
      <c r="M15" s="19">
        <f t="shared" si="3"/>
        <v>98</v>
      </c>
      <c r="N15" s="26">
        <f>C15+J15-K15</f>
        <v>283.2</v>
      </c>
      <c r="O15" s="98"/>
      <c r="Q15" s="57"/>
    </row>
    <row r="16" spans="1:17" ht="24" customHeight="1">
      <c r="A16" s="90">
        <v>9</v>
      </c>
      <c r="B16" s="23" t="s">
        <v>17</v>
      </c>
      <c r="C16" s="24"/>
      <c r="D16" s="30"/>
      <c r="E16" s="30"/>
      <c r="F16" s="31" t="e">
        <f t="shared" si="0"/>
        <v>#DIV/0!</v>
      </c>
      <c r="G16" s="30"/>
      <c r="H16" s="30"/>
      <c r="I16" s="31" t="e">
        <f t="shared" si="1"/>
        <v>#DIV/0!</v>
      </c>
      <c r="J16" s="25"/>
      <c r="K16" s="25"/>
      <c r="L16" s="31" t="e">
        <f t="shared" si="4"/>
        <v>#DIV/0!</v>
      </c>
      <c r="M16" s="19"/>
      <c r="N16" s="32">
        <f>C16+D16-E16</f>
        <v>0</v>
      </c>
      <c r="O16" s="98"/>
      <c r="Q16" s="57"/>
    </row>
    <row r="17" spans="1:17" ht="24" customHeight="1">
      <c r="A17" s="90">
        <v>10</v>
      </c>
      <c r="B17" s="28" t="s">
        <v>18</v>
      </c>
      <c r="C17" s="24">
        <v>202.9</v>
      </c>
      <c r="D17" s="25">
        <v>70.8</v>
      </c>
      <c r="E17" s="25">
        <v>56</v>
      </c>
      <c r="F17" s="19">
        <f t="shared" si="0"/>
        <v>79.09604519774011</v>
      </c>
      <c r="G17" s="25">
        <v>63.6</v>
      </c>
      <c r="H17" s="25">
        <v>0</v>
      </c>
      <c r="I17" s="19">
        <f t="shared" si="1"/>
        <v>0</v>
      </c>
      <c r="J17" s="25">
        <f t="shared" si="2"/>
        <v>134.4</v>
      </c>
      <c r="K17" s="25">
        <f t="shared" si="2"/>
        <v>56</v>
      </c>
      <c r="L17" s="19">
        <f t="shared" si="4"/>
        <v>41.666666666666664</v>
      </c>
      <c r="M17" s="19">
        <f t="shared" si="3"/>
        <v>78.4</v>
      </c>
      <c r="N17" s="26">
        <f>C17+J17-K17</f>
        <v>281.3</v>
      </c>
      <c r="O17" s="98"/>
      <c r="Q17" s="57"/>
    </row>
    <row r="18" spans="1:17" ht="24" customHeight="1">
      <c r="A18" s="90">
        <v>11</v>
      </c>
      <c r="B18" s="28" t="s">
        <v>19</v>
      </c>
      <c r="C18" s="24">
        <v>8.8</v>
      </c>
      <c r="D18" s="25">
        <v>3.8</v>
      </c>
      <c r="E18" s="25">
        <v>4.9</v>
      </c>
      <c r="F18" s="19">
        <f t="shared" si="0"/>
        <v>128.94736842105266</v>
      </c>
      <c r="G18" s="25">
        <v>3.6</v>
      </c>
      <c r="H18" s="25"/>
      <c r="I18" s="19">
        <f t="shared" si="1"/>
        <v>0</v>
      </c>
      <c r="J18" s="25">
        <f t="shared" si="2"/>
        <v>7.4</v>
      </c>
      <c r="K18" s="25">
        <f t="shared" si="2"/>
        <v>4.9</v>
      </c>
      <c r="L18" s="19">
        <f t="shared" si="4"/>
        <v>66.21621621621621</v>
      </c>
      <c r="M18" s="19">
        <f t="shared" si="3"/>
        <v>2.5</v>
      </c>
      <c r="N18" s="26">
        <f>C18+J18-K18</f>
        <v>11.300000000000002</v>
      </c>
      <c r="O18" s="98"/>
      <c r="Q18" s="57"/>
    </row>
    <row r="19" spans="1:17" ht="24" customHeight="1">
      <c r="A19" s="90">
        <v>12</v>
      </c>
      <c r="B19" s="23" t="s">
        <v>20</v>
      </c>
      <c r="C19" s="24">
        <v>84</v>
      </c>
      <c r="D19" s="25">
        <v>58.3</v>
      </c>
      <c r="E19" s="25">
        <v>42.8</v>
      </c>
      <c r="F19" s="19">
        <f t="shared" si="0"/>
        <v>73.41337907375643</v>
      </c>
      <c r="G19" s="25">
        <v>51.6</v>
      </c>
      <c r="H19" s="25">
        <v>0</v>
      </c>
      <c r="I19" s="19">
        <f t="shared" si="1"/>
        <v>0</v>
      </c>
      <c r="J19" s="25">
        <f t="shared" si="2"/>
        <v>109.9</v>
      </c>
      <c r="K19" s="25">
        <f t="shared" si="2"/>
        <v>42.8</v>
      </c>
      <c r="L19" s="19">
        <f t="shared" si="4"/>
        <v>38.944494995450405</v>
      </c>
      <c r="M19" s="19">
        <f t="shared" si="3"/>
        <v>67.10000000000001</v>
      </c>
      <c r="N19" s="26">
        <f>C19+J19-K19</f>
        <v>151.10000000000002</v>
      </c>
      <c r="O19" s="98"/>
      <c r="Q19" s="57"/>
    </row>
    <row r="20" spans="1:17" ht="24" customHeight="1">
      <c r="A20" s="90">
        <v>13</v>
      </c>
      <c r="B20" s="28" t="s">
        <v>21</v>
      </c>
      <c r="C20" s="24"/>
      <c r="D20" s="30"/>
      <c r="E20" s="30"/>
      <c r="F20" s="31" t="e">
        <f t="shared" si="0"/>
        <v>#DIV/0!</v>
      </c>
      <c r="G20" s="30"/>
      <c r="H20" s="30"/>
      <c r="I20" s="31" t="e">
        <f t="shared" si="1"/>
        <v>#DIV/0!</v>
      </c>
      <c r="J20" s="30"/>
      <c r="K20" s="30"/>
      <c r="L20" s="31" t="e">
        <f t="shared" si="4"/>
        <v>#DIV/0!</v>
      </c>
      <c r="M20" s="19"/>
      <c r="N20" s="26"/>
      <c r="O20" s="98"/>
      <c r="Q20" s="57"/>
    </row>
    <row r="21" spans="1:17" ht="24" customHeight="1">
      <c r="A21" s="90">
        <v>14</v>
      </c>
      <c r="B21" s="28" t="s">
        <v>22</v>
      </c>
      <c r="C21" s="24"/>
      <c r="D21" s="30"/>
      <c r="E21" s="30"/>
      <c r="F21" s="31" t="e">
        <f t="shared" si="0"/>
        <v>#DIV/0!</v>
      </c>
      <c r="G21" s="30"/>
      <c r="H21" s="30"/>
      <c r="I21" s="31" t="e">
        <f t="shared" si="1"/>
        <v>#DIV/0!</v>
      </c>
      <c r="J21" s="30"/>
      <c r="K21" s="30"/>
      <c r="L21" s="31" t="e">
        <f t="shared" si="4"/>
        <v>#DIV/0!</v>
      </c>
      <c r="M21" s="19"/>
      <c r="N21" s="26"/>
      <c r="O21" s="98"/>
      <c r="Q21" s="57"/>
    </row>
    <row r="22" spans="1:17" ht="36.75" customHeight="1">
      <c r="A22" s="90">
        <v>15</v>
      </c>
      <c r="B22" s="28" t="s">
        <v>23</v>
      </c>
      <c r="C22" s="24"/>
      <c r="D22" s="30"/>
      <c r="E22" s="30"/>
      <c r="F22" s="31" t="e">
        <f t="shared" si="0"/>
        <v>#DIV/0!</v>
      </c>
      <c r="G22" s="30"/>
      <c r="H22" s="30"/>
      <c r="I22" s="31" t="e">
        <f>H22/G22*100</f>
        <v>#DIV/0!</v>
      </c>
      <c r="J22" s="30"/>
      <c r="K22" s="30"/>
      <c r="L22" s="31" t="e">
        <f t="shared" si="4"/>
        <v>#DIV/0!</v>
      </c>
      <c r="M22" s="19"/>
      <c r="N22" s="26"/>
      <c r="O22" s="98"/>
      <c r="Q22" s="57"/>
    </row>
    <row r="23" spans="1:17" ht="24" customHeight="1">
      <c r="A23" s="90">
        <v>16</v>
      </c>
      <c r="B23" s="28" t="s">
        <v>8</v>
      </c>
      <c r="C23" s="24"/>
      <c r="D23" s="30"/>
      <c r="E23" s="30"/>
      <c r="F23" s="31" t="e">
        <f t="shared" si="0"/>
        <v>#DIV/0!</v>
      </c>
      <c r="G23" s="33"/>
      <c r="H23" s="33"/>
      <c r="I23" s="33"/>
      <c r="J23" s="33" t="s">
        <v>91</v>
      </c>
      <c r="K23" s="33"/>
      <c r="L23" s="33"/>
      <c r="M23" s="19"/>
      <c r="N23" s="34"/>
      <c r="O23" s="98"/>
      <c r="Q23" s="57"/>
    </row>
    <row r="24" spans="1:17" ht="36.75" customHeight="1">
      <c r="A24" s="90">
        <v>17</v>
      </c>
      <c r="B24" s="28" t="s">
        <v>24</v>
      </c>
      <c r="C24" s="24">
        <v>477.7</v>
      </c>
      <c r="D24" s="25">
        <v>169.7</v>
      </c>
      <c r="E24" s="25">
        <v>299.1</v>
      </c>
      <c r="F24" s="19">
        <f t="shared" si="0"/>
        <v>176.25220978196822</v>
      </c>
      <c r="G24" s="25">
        <v>156.9</v>
      </c>
      <c r="H24" s="25">
        <v>0</v>
      </c>
      <c r="I24" s="19">
        <f>H24/G24*100</f>
        <v>0</v>
      </c>
      <c r="J24" s="25">
        <f aca="true" t="shared" si="5" ref="J24:K27">D24+G24</f>
        <v>326.6</v>
      </c>
      <c r="K24" s="25">
        <f t="shared" si="5"/>
        <v>299.1</v>
      </c>
      <c r="L24" s="19">
        <f>K24/J24*100</f>
        <v>91.579914268218</v>
      </c>
      <c r="M24" s="19">
        <f t="shared" si="3"/>
        <v>27.5</v>
      </c>
      <c r="N24" s="26">
        <f>C24+J24-K24</f>
        <v>505.19999999999993</v>
      </c>
      <c r="O24" s="98"/>
      <c r="Q24" s="57"/>
    </row>
    <row r="25" spans="1:17" ht="24" customHeight="1">
      <c r="A25" s="90">
        <v>18</v>
      </c>
      <c r="B25" s="23" t="s">
        <v>25</v>
      </c>
      <c r="C25" s="24"/>
      <c r="D25" s="30"/>
      <c r="E25" s="30"/>
      <c r="F25" s="31" t="e">
        <f t="shared" si="0"/>
        <v>#DIV/0!</v>
      </c>
      <c r="G25" s="30"/>
      <c r="H25" s="30"/>
      <c r="I25" s="31" t="e">
        <f>H25/G25*100</f>
        <v>#DIV/0!</v>
      </c>
      <c r="J25" s="25"/>
      <c r="K25" s="25"/>
      <c r="L25" s="31" t="e">
        <f>K25/J25*100</f>
        <v>#DIV/0!</v>
      </c>
      <c r="M25" s="19"/>
      <c r="N25" s="32">
        <f>C25+D25-E25</f>
        <v>0</v>
      </c>
      <c r="O25" s="98"/>
      <c r="Q25" s="57"/>
    </row>
    <row r="26" spans="1:17" ht="24" customHeight="1">
      <c r="A26" s="90">
        <v>19</v>
      </c>
      <c r="B26" s="28" t="s">
        <v>26</v>
      </c>
      <c r="C26" s="24">
        <v>139</v>
      </c>
      <c r="D26" s="25">
        <v>51.6</v>
      </c>
      <c r="E26" s="25">
        <v>40.4</v>
      </c>
      <c r="F26" s="19">
        <f t="shared" si="0"/>
        <v>78.29457364341084</v>
      </c>
      <c r="G26" s="25">
        <v>49.1</v>
      </c>
      <c r="H26" s="25">
        <v>0</v>
      </c>
      <c r="I26" s="19">
        <f>H26/G26*100</f>
        <v>0</v>
      </c>
      <c r="J26" s="25">
        <f t="shared" si="5"/>
        <v>100.7</v>
      </c>
      <c r="K26" s="25">
        <f t="shared" si="5"/>
        <v>40.4</v>
      </c>
      <c r="L26" s="19">
        <f>K26/J26*100</f>
        <v>40.11916583912611</v>
      </c>
      <c r="M26" s="19">
        <f t="shared" si="3"/>
        <v>60.300000000000004</v>
      </c>
      <c r="N26" s="26">
        <f>C26+J26-K26</f>
        <v>199.29999999999998</v>
      </c>
      <c r="O26" s="98"/>
      <c r="Q26" s="57"/>
    </row>
    <row r="27" spans="1:17" ht="36.75" customHeight="1">
      <c r="A27" s="90">
        <v>20</v>
      </c>
      <c r="B27" s="28" t="s">
        <v>94</v>
      </c>
      <c r="C27" s="24">
        <v>173.3</v>
      </c>
      <c r="D27" s="25">
        <v>76.8</v>
      </c>
      <c r="E27" s="25">
        <v>173.3</v>
      </c>
      <c r="F27" s="19">
        <f t="shared" si="0"/>
        <v>225.65104166666669</v>
      </c>
      <c r="G27" s="25">
        <v>89.4</v>
      </c>
      <c r="H27" s="25">
        <v>0</v>
      </c>
      <c r="I27" s="19">
        <f>H27/G27*100</f>
        <v>0</v>
      </c>
      <c r="J27" s="25">
        <f t="shared" si="5"/>
        <v>166.2</v>
      </c>
      <c r="K27" s="25">
        <f t="shared" si="5"/>
        <v>173.3</v>
      </c>
      <c r="L27" s="19">
        <f>K27/J27*100</f>
        <v>104.27196149217812</v>
      </c>
      <c r="M27" s="19">
        <f t="shared" si="3"/>
        <v>-7.100000000000023</v>
      </c>
      <c r="N27" s="26">
        <f>C27+J27-K27</f>
        <v>166.2</v>
      </c>
      <c r="O27" s="98"/>
      <c r="Q27" s="57"/>
    </row>
    <row r="28" spans="1:17" ht="36.75" customHeight="1">
      <c r="A28" s="90">
        <v>21</v>
      </c>
      <c r="B28" s="23" t="s">
        <v>27</v>
      </c>
      <c r="C28" s="24"/>
      <c r="D28" s="36"/>
      <c r="E28" s="36"/>
      <c r="F28" s="19"/>
      <c r="G28" s="30"/>
      <c r="H28" s="30"/>
      <c r="I28" s="31" t="e">
        <f>H28/G28*100</f>
        <v>#DIV/0!</v>
      </c>
      <c r="J28" s="25"/>
      <c r="K28" s="25"/>
      <c r="L28" s="19"/>
      <c r="M28" s="19"/>
      <c r="N28" s="26"/>
      <c r="O28" s="98"/>
      <c r="Q28" s="57"/>
    </row>
    <row r="29" spans="1:17" ht="24" customHeight="1">
      <c r="A29" s="90">
        <v>22</v>
      </c>
      <c r="B29" s="23" t="s">
        <v>2</v>
      </c>
      <c r="C29" s="24"/>
      <c r="D29" s="30"/>
      <c r="E29" s="30"/>
      <c r="F29" s="31" t="e">
        <f t="shared" si="0"/>
        <v>#DIV/0!</v>
      </c>
      <c r="G29" s="38"/>
      <c r="H29" s="38"/>
      <c r="I29" s="38"/>
      <c r="J29" s="38"/>
      <c r="K29" s="158"/>
      <c r="L29" s="158"/>
      <c r="M29" s="158"/>
      <c r="N29" s="158"/>
      <c r="O29" s="98"/>
      <c r="Q29" s="57"/>
    </row>
    <row r="30" spans="1:17" ht="24" customHeight="1">
      <c r="A30" s="90">
        <v>23</v>
      </c>
      <c r="B30" s="28" t="s">
        <v>3</v>
      </c>
      <c r="C30" s="24"/>
      <c r="D30" s="30"/>
      <c r="E30" s="30"/>
      <c r="F30" s="31" t="e">
        <f t="shared" si="0"/>
        <v>#DIV/0!</v>
      </c>
      <c r="G30" s="30"/>
      <c r="H30" s="30"/>
      <c r="I30" s="31" t="e">
        <f>H30/G30*100</f>
        <v>#DIV/0!</v>
      </c>
      <c r="J30" s="157"/>
      <c r="K30" s="158"/>
      <c r="L30" s="158"/>
      <c r="M30" s="158"/>
      <c r="N30" s="158"/>
      <c r="O30" s="98"/>
      <c r="Q30" s="57"/>
    </row>
    <row r="31" spans="1:17" ht="24" customHeight="1">
      <c r="A31" s="90">
        <v>24</v>
      </c>
      <c r="B31" s="28" t="s">
        <v>4</v>
      </c>
      <c r="C31" s="24"/>
      <c r="D31" s="30"/>
      <c r="E31" s="30"/>
      <c r="F31" s="31" t="e">
        <f t="shared" si="0"/>
        <v>#DIV/0!</v>
      </c>
      <c r="G31" s="43"/>
      <c r="H31" s="43"/>
      <c r="I31" s="43"/>
      <c r="J31" s="43"/>
      <c r="K31" s="158"/>
      <c r="L31" s="158"/>
      <c r="M31" s="158"/>
      <c r="N31" s="158"/>
      <c r="O31" s="98"/>
      <c r="Q31" s="57"/>
    </row>
    <row r="32" spans="1:17" ht="24" customHeight="1">
      <c r="A32" s="90">
        <v>25</v>
      </c>
      <c r="B32" s="28" t="s">
        <v>11</v>
      </c>
      <c r="C32" s="24"/>
      <c r="D32" s="30"/>
      <c r="E32" s="30"/>
      <c r="F32" s="31" t="e">
        <f t="shared" si="0"/>
        <v>#DIV/0!</v>
      </c>
      <c r="G32" s="30"/>
      <c r="H32" s="30"/>
      <c r="I32" s="31"/>
      <c r="J32" s="30"/>
      <c r="K32" s="30"/>
      <c r="L32" s="31"/>
      <c r="M32" s="19"/>
      <c r="N32" s="45"/>
      <c r="O32" s="98"/>
      <c r="Q32" s="57"/>
    </row>
    <row r="33" spans="1:17" ht="24" customHeight="1">
      <c r="A33" s="90"/>
      <c r="B33" s="28" t="s">
        <v>106</v>
      </c>
      <c r="C33" s="24">
        <v>601.3</v>
      </c>
      <c r="D33" s="25">
        <v>340.4</v>
      </c>
      <c r="E33" s="25">
        <v>303.2</v>
      </c>
      <c r="F33" s="19">
        <f t="shared" si="0"/>
        <v>89.07168037602821</v>
      </c>
      <c r="G33" s="25">
        <v>272.5</v>
      </c>
      <c r="H33" s="25">
        <v>1.2</v>
      </c>
      <c r="I33" s="19">
        <f aca="true" t="shared" si="6" ref="I33:I45">H33/G33*100</f>
        <v>0.4403669724770642</v>
      </c>
      <c r="J33" s="25">
        <f aca="true" t="shared" si="7" ref="J33:K42">D33+G33</f>
        <v>612.9</v>
      </c>
      <c r="K33" s="25">
        <f t="shared" si="7"/>
        <v>304.4</v>
      </c>
      <c r="L33" s="19">
        <f>K33/J33*100</f>
        <v>49.665524555392395</v>
      </c>
      <c r="M33" s="19">
        <f t="shared" si="3"/>
        <v>308.5</v>
      </c>
      <c r="N33" s="26">
        <f aca="true" t="shared" si="8" ref="N33:N44">C33+J33-K33</f>
        <v>909.7999999999998</v>
      </c>
      <c r="O33" s="98"/>
      <c r="Q33" s="57"/>
    </row>
    <row r="34" spans="1:17" ht="24.75" customHeight="1">
      <c r="A34" s="93"/>
      <c r="B34" s="28" t="s">
        <v>43</v>
      </c>
      <c r="C34" s="24">
        <v>0</v>
      </c>
      <c r="D34" s="30"/>
      <c r="E34" s="30"/>
      <c r="F34" s="31" t="e">
        <f t="shared" si="0"/>
        <v>#DIV/0!</v>
      </c>
      <c r="G34" s="25"/>
      <c r="H34" s="25"/>
      <c r="I34" s="31" t="e">
        <f t="shared" si="6"/>
        <v>#DIV/0!</v>
      </c>
      <c r="J34" s="25"/>
      <c r="K34" s="25"/>
      <c r="L34" s="19"/>
      <c r="M34" s="19"/>
      <c r="N34" s="26">
        <f t="shared" si="8"/>
        <v>0</v>
      </c>
      <c r="O34" s="98"/>
      <c r="Q34" s="57"/>
    </row>
    <row r="35" spans="1:17" ht="35.25" customHeight="1">
      <c r="A35" s="90">
        <v>26</v>
      </c>
      <c r="B35" s="28" t="s">
        <v>95</v>
      </c>
      <c r="C35" s="24">
        <v>592.6</v>
      </c>
      <c r="D35" s="25">
        <f>91+142.7</f>
        <v>233.7</v>
      </c>
      <c r="E35" s="25">
        <f>78.1+101.1</f>
        <v>179.2</v>
      </c>
      <c r="F35" s="19">
        <f t="shared" si="0"/>
        <v>76.67950363714164</v>
      </c>
      <c r="G35" s="25">
        <f>113.9+106</f>
        <v>219.9</v>
      </c>
      <c r="H35" s="25">
        <f>0</f>
        <v>0</v>
      </c>
      <c r="I35" s="19">
        <f t="shared" si="6"/>
        <v>0</v>
      </c>
      <c r="J35" s="25">
        <f t="shared" si="7"/>
        <v>453.6</v>
      </c>
      <c r="K35" s="25">
        <f t="shared" si="7"/>
        <v>179.2</v>
      </c>
      <c r="L35" s="19">
        <f aca="true" t="shared" si="9" ref="L35:L44">K35/J35*100</f>
        <v>39.50617283950617</v>
      </c>
      <c r="M35" s="19">
        <f t="shared" si="3"/>
        <v>274.40000000000003</v>
      </c>
      <c r="N35" s="26">
        <f t="shared" si="8"/>
        <v>867</v>
      </c>
      <c r="O35" s="98"/>
      <c r="Q35" s="57"/>
    </row>
    <row r="36" spans="1:17" ht="24" customHeight="1">
      <c r="A36" s="90">
        <v>27</v>
      </c>
      <c r="B36" s="23" t="s">
        <v>28</v>
      </c>
      <c r="C36" s="24">
        <v>2.8</v>
      </c>
      <c r="D36" s="25">
        <v>1.3</v>
      </c>
      <c r="E36" s="25">
        <v>0</v>
      </c>
      <c r="F36" s="19">
        <f t="shared" si="0"/>
        <v>0</v>
      </c>
      <c r="G36" s="25">
        <v>1.3</v>
      </c>
      <c r="H36" s="25"/>
      <c r="I36" s="19">
        <f t="shared" si="6"/>
        <v>0</v>
      </c>
      <c r="J36" s="25">
        <f t="shared" si="7"/>
        <v>2.6</v>
      </c>
      <c r="K36" s="25">
        <f t="shared" si="7"/>
        <v>0</v>
      </c>
      <c r="L36" s="19">
        <f t="shared" si="9"/>
        <v>0</v>
      </c>
      <c r="M36" s="19">
        <f t="shared" si="3"/>
        <v>2.6</v>
      </c>
      <c r="N36" s="26">
        <f t="shared" si="8"/>
        <v>5.4</v>
      </c>
      <c r="O36" s="98"/>
      <c r="Q36" s="57"/>
    </row>
    <row r="37" spans="1:17" ht="24" customHeight="1">
      <c r="A37" s="90">
        <v>28</v>
      </c>
      <c r="B37" s="28" t="s">
        <v>29</v>
      </c>
      <c r="C37" s="24">
        <v>826.2</v>
      </c>
      <c r="D37" s="25">
        <v>289.4</v>
      </c>
      <c r="E37" s="25">
        <v>538.9</v>
      </c>
      <c r="F37" s="19">
        <f t="shared" si="0"/>
        <v>186.21285418106427</v>
      </c>
      <c r="G37" s="25">
        <v>274.7</v>
      </c>
      <c r="H37" s="25">
        <v>287.2</v>
      </c>
      <c r="I37" s="19">
        <f t="shared" si="6"/>
        <v>104.55041863851476</v>
      </c>
      <c r="J37" s="25">
        <f t="shared" si="7"/>
        <v>564.0999999999999</v>
      </c>
      <c r="K37" s="25">
        <f t="shared" si="7"/>
        <v>826.0999999999999</v>
      </c>
      <c r="L37" s="19">
        <f t="shared" si="9"/>
        <v>146.44566566211665</v>
      </c>
      <c r="M37" s="19">
        <f t="shared" si="3"/>
        <v>-262</v>
      </c>
      <c r="N37" s="26">
        <f t="shared" si="8"/>
        <v>564.2</v>
      </c>
      <c r="O37" s="98"/>
      <c r="Q37" s="57"/>
    </row>
    <row r="38" spans="1:17" ht="24" customHeight="1">
      <c r="A38" s="90">
        <v>29</v>
      </c>
      <c r="B38" s="28" t="s">
        <v>30</v>
      </c>
      <c r="C38" s="24">
        <v>596.9</v>
      </c>
      <c r="D38" s="25">
        <v>342.4</v>
      </c>
      <c r="E38" s="25">
        <v>193.2</v>
      </c>
      <c r="F38" s="19">
        <f t="shared" si="0"/>
        <v>56.425233644859816</v>
      </c>
      <c r="G38" s="25">
        <v>308.8</v>
      </c>
      <c r="H38" s="25">
        <v>0</v>
      </c>
      <c r="I38" s="19">
        <f t="shared" si="6"/>
        <v>0</v>
      </c>
      <c r="J38" s="25">
        <f t="shared" si="7"/>
        <v>651.2</v>
      </c>
      <c r="K38" s="25">
        <f t="shared" si="7"/>
        <v>193.2</v>
      </c>
      <c r="L38" s="19">
        <f t="shared" si="9"/>
        <v>29.668304668304664</v>
      </c>
      <c r="M38" s="19">
        <f t="shared" si="3"/>
        <v>458.00000000000006</v>
      </c>
      <c r="N38" s="26">
        <f t="shared" si="8"/>
        <v>1054.8999999999999</v>
      </c>
      <c r="O38" s="98"/>
      <c r="Q38" s="57"/>
    </row>
    <row r="39" spans="1:17" ht="36.75" customHeight="1">
      <c r="A39" s="90">
        <v>30</v>
      </c>
      <c r="B39" s="28" t="s">
        <v>96</v>
      </c>
      <c r="C39" s="24">
        <v>1571</v>
      </c>
      <c r="D39" s="25">
        <v>712.4</v>
      </c>
      <c r="E39" s="25">
        <v>1571</v>
      </c>
      <c r="F39" s="19">
        <f t="shared" si="0"/>
        <v>220.52217855137565</v>
      </c>
      <c r="G39" s="25">
        <v>810.8</v>
      </c>
      <c r="H39" s="25">
        <v>0</v>
      </c>
      <c r="I39" s="19">
        <f t="shared" si="6"/>
        <v>0</v>
      </c>
      <c r="J39" s="25">
        <f t="shared" si="7"/>
        <v>1523.1999999999998</v>
      </c>
      <c r="K39" s="25">
        <f t="shared" si="7"/>
        <v>1571</v>
      </c>
      <c r="L39" s="19">
        <f t="shared" si="9"/>
        <v>103.13813025210085</v>
      </c>
      <c r="M39" s="19">
        <f t="shared" si="3"/>
        <v>-47.80000000000018</v>
      </c>
      <c r="N39" s="26">
        <f t="shared" si="8"/>
        <v>1523.1999999999998</v>
      </c>
      <c r="O39" s="98"/>
      <c r="Q39" s="57"/>
    </row>
    <row r="40" spans="1:17" ht="24" customHeight="1">
      <c r="A40" s="90">
        <v>31</v>
      </c>
      <c r="B40" s="28" t="s">
        <v>31</v>
      </c>
      <c r="C40" s="24"/>
      <c r="D40" s="25"/>
      <c r="E40" s="25"/>
      <c r="F40" s="214"/>
      <c r="G40" s="25"/>
      <c r="H40" s="25"/>
      <c r="I40" s="214"/>
      <c r="J40" s="25"/>
      <c r="K40" s="25"/>
      <c r="L40" s="214"/>
      <c r="M40" s="19"/>
      <c r="N40" s="26"/>
      <c r="O40" s="98"/>
      <c r="Q40" s="57"/>
    </row>
    <row r="41" spans="1:17" ht="37.5">
      <c r="A41" s="90">
        <v>32</v>
      </c>
      <c r="B41" s="23" t="s">
        <v>32</v>
      </c>
      <c r="C41" s="24">
        <v>897.7</v>
      </c>
      <c r="D41" s="25">
        <v>375.1</v>
      </c>
      <c r="E41" s="25">
        <v>901.5</v>
      </c>
      <c r="F41" s="19">
        <f t="shared" si="0"/>
        <v>240.33591042388696</v>
      </c>
      <c r="G41" s="102">
        <v>341.6</v>
      </c>
      <c r="H41" s="102">
        <v>356.3</v>
      </c>
      <c r="I41" s="117">
        <f t="shared" si="6"/>
        <v>104.30327868852459</v>
      </c>
      <c r="J41" s="25">
        <f t="shared" si="7"/>
        <v>716.7</v>
      </c>
      <c r="K41" s="25">
        <f t="shared" si="7"/>
        <v>1257.8</v>
      </c>
      <c r="L41" s="117">
        <f t="shared" si="9"/>
        <v>175.49881400865075</v>
      </c>
      <c r="M41" s="19">
        <f t="shared" si="3"/>
        <v>-541.0999999999999</v>
      </c>
      <c r="N41" s="26">
        <f t="shared" si="8"/>
        <v>356.60000000000014</v>
      </c>
      <c r="O41" s="98"/>
      <c r="Q41" s="57"/>
    </row>
    <row r="42" spans="1:17" ht="24" customHeight="1">
      <c r="A42" s="90">
        <v>33</v>
      </c>
      <c r="B42" s="28" t="s">
        <v>33</v>
      </c>
      <c r="C42" s="24">
        <v>2434.8</v>
      </c>
      <c r="D42" s="25">
        <v>967.6</v>
      </c>
      <c r="E42" s="25">
        <v>1432.3</v>
      </c>
      <c r="F42" s="19">
        <f t="shared" si="0"/>
        <v>148.02604381976025</v>
      </c>
      <c r="G42" s="25">
        <v>957.6</v>
      </c>
      <c r="H42" s="25">
        <v>969.3</v>
      </c>
      <c r="I42" s="19">
        <f t="shared" si="6"/>
        <v>101.22180451127818</v>
      </c>
      <c r="J42" s="25">
        <f t="shared" si="7"/>
        <v>1925.2</v>
      </c>
      <c r="K42" s="25">
        <f t="shared" si="7"/>
        <v>2401.6</v>
      </c>
      <c r="L42" s="19">
        <f t="shared" si="9"/>
        <v>124.74548098898815</v>
      </c>
      <c r="M42" s="19">
        <f t="shared" si="3"/>
        <v>-476.39999999999986</v>
      </c>
      <c r="N42" s="26">
        <f t="shared" si="8"/>
        <v>1958.4</v>
      </c>
      <c r="O42" s="98"/>
      <c r="Q42" s="57"/>
    </row>
    <row r="43" spans="1:24" s="21" customFormat="1" ht="24.75" customHeight="1">
      <c r="A43" s="48">
        <v>34</v>
      </c>
      <c r="B43" s="48" t="s">
        <v>5</v>
      </c>
      <c r="C43" s="49">
        <f>C44+C45</f>
        <v>81181</v>
      </c>
      <c r="D43" s="26">
        <f>D44+D45</f>
        <v>17376</v>
      </c>
      <c r="E43" s="26">
        <f>E44+E45</f>
        <v>62501</v>
      </c>
      <c r="F43" s="19">
        <f>E43/D43*100</f>
        <v>359.6972836095764</v>
      </c>
      <c r="G43" s="26">
        <f>G44</f>
        <v>28467</v>
      </c>
      <c r="H43" s="26">
        <f>H44</f>
        <v>1137</v>
      </c>
      <c r="I43" s="19">
        <f>H43/G43*100</f>
        <v>3.9940984297607756</v>
      </c>
      <c r="J43" s="26">
        <f>J44</f>
        <v>45843</v>
      </c>
      <c r="K43" s="26">
        <f>K44</f>
        <v>63638</v>
      </c>
      <c r="L43" s="19">
        <f t="shared" si="9"/>
        <v>138.81726763082696</v>
      </c>
      <c r="M43" s="50">
        <f>M44</f>
        <v>-17795</v>
      </c>
      <c r="N43" s="50">
        <f>N44</f>
        <v>63386</v>
      </c>
      <c r="O43" s="97"/>
      <c r="P43" s="52"/>
      <c r="Q43" s="57"/>
      <c r="R43" s="52"/>
      <c r="S43" s="52"/>
      <c r="T43" s="52"/>
      <c r="U43" s="52"/>
      <c r="V43" s="52"/>
      <c r="W43" s="52"/>
      <c r="X43" s="52"/>
    </row>
    <row r="44" spans="1:24" s="21" customFormat="1" ht="24.75" customHeight="1">
      <c r="A44" s="48"/>
      <c r="B44" s="23" t="s">
        <v>34</v>
      </c>
      <c r="C44" s="24">
        <v>81181</v>
      </c>
      <c r="D44" s="25">
        <v>17376</v>
      </c>
      <c r="E44" s="25">
        <v>62501</v>
      </c>
      <c r="F44" s="19">
        <f t="shared" si="0"/>
        <v>359.6972836095764</v>
      </c>
      <c r="G44" s="25">
        <v>28467</v>
      </c>
      <c r="H44" s="25">
        <v>1137</v>
      </c>
      <c r="I44" s="19">
        <f t="shared" si="6"/>
        <v>3.9940984297607756</v>
      </c>
      <c r="J44" s="25">
        <f>D44+G44</f>
        <v>45843</v>
      </c>
      <c r="K44" s="25">
        <f>E44+H44</f>
        <v>63638</v>
      </c>
      <c r="L44" s="19">
        <f t="shared" si="9"/>
        <v>138.81726763082696</v>
      </c>
      <c r="M44" s="19">
        <f t="shared" si="3"/>
        <v>-17795</v>
      </c>
      <c r="N44" s="26">
        <f t="shared" si="8"/>
        <v>63386</v>
      </c>
      <c r="O44" s="98"/>
      <c r="P44" s="52"/>
      <c r="Q44" s="57"/>
      <c r="R44" s="52"/>
      <c r="S44" s="52"/>
      <c r="T44" s="52"/>
      <c r="U44" s="52"/>
      <c r="V44" s="52"/>
      <c r="W44" s="52"/>
      <c r="X44" s="52"/>
    </row>
    <row r="45" spans="1:24" s="21" customFormat="1" ht="24.75" customHeight="1">
      <c r="A45" s="48"/>
      <c r="B45" s="23" t="s">
        <v>43</v>
      </c>
      <c r="C45" s="24">
        <v>0</v>
      </c>
      <c r="D45" s="30"/>
      <c r="E45" s="30"/>
      <c r="F45" s="31" t="e">
        <f>E45/D45*100</f>
        <v>#DIV/0!</v>
      </c>
      <c r="G45" s="30"/>
      <c r="H45" s="30"/>
      <c r="I45" s="31" t="e">
        <f t="shared" si="6"/>
        <v>#DIV/0!</v>
      </c>
      <c r="J45" s="30"/>
      <c r="K45" s="30"/>
      <c r="L45" s="31" t="e">
        <f>K45/J45*100</f>
        <v>#DIV/0!</v>
      </c>
      <c r="M45" s="31"/>
      <c r="N45" s="32">
        <f>C45+D45-E45</f>
        <v>0</v>
      </c>
      <c r="O45" s="98"/>
      <c r="P45" s="52"/>
      <c r="Q45" s="57"/>
      <c r="R45" s="52"/>
      <c r="S45" s="52"/>
      <c r="T45" s="52"/>
      <c r="U45" s="52"/>
      <c r="V45" s="52"/>
      <c r="W45" s="52"/>
      <c r="X45" s="52"/>
    </row>
    <row r="46" spans="1:24" s="21" customFormat="1" ht="24.75" customHeight="1">
      <c r="A46" s="48"/>
      <c r="B46" s="48" t="s">
        <v>7</v>
      </c>
      <c r="C46" s="49">
        <f>C7+C43</f>
        <v>91023.9</v>
      </c>
      <c r="D46" s="26">
        <f>D7+D43</f>
        <v>21544</v>
      </c>
      <c r="E46" s="26">
        <f>E7+E43</f>
        <v>68871.5</v>
      </c>
      <c r="F46" s="19">
        <f>E46/D46*100</f>
        <v>319.6783327144448</v>
      </c>
      <c r="G46" s="26">
        <f>G7+G43</f>
        <v>32606</v>
      </c>
      <c r="H46" s="26">
        <f>H7+H43</f>
        <v>2751</v>
      </c>
      <c r="I46" s="19">
        <f>H46/G46*100</f>
        <v>8.437097466723916</v>
      </c>
      <c r="J46" s="26">
        <f>J7+J43</f>
        <v>54150</v>
      </c>
      <c r="K46" s="26">
        <f>K7+K43</f>
        <v>71622.5</v>
      </c>
      <c r="L46" s="19">
        <f>K46/J46*100</f>
        <v>132.2668513388735</v>
      </c>
      <c r="M46" s="50">
        <f>M7+M43</f>
        <v>-17472.5</v>
      </c>
      <c r="N46" s="50">
        <f>N7+N43</f>
        <v>73551.4</v>
      </c>
      <c r="O46" s="97"/>
      <c r="P46" s="52"/>
      <c r="Q46" s="57"/>
      <c r="R46" s="52"/>
      <c r="S46" s="52"/>
      <c r="T46" s="52"/>
      <c r="U46" s="52"/>
      <c r="V46" s="52"/>
      <c r="W46" s="52"/>
      <c r="X46" s="52"/>
    </row>
    <row r="47" spans="1:24" s="21" customFormat="1" ht="24.75" customHeight="1">
      <c r="A47" s="52"/>
      <c r="B47" s="52"/>
      <c r="C47" s="53"/>
      <c r="D47" s="55"/>
      <c r="E47" s="55"/>
      <c r="F47" s="55"/>
      <c r="G47" s="55"/>
      <c r="H47" s="55"/>
      <c r="I47" s="55"/>
      <c r="J47" s="54"/>
      <c r="K47" s="55"/>
      <c r="L47" s="55"/>
      <c r="M47" s="55"/>
      <c r="N47" s="56"/>
      <c r="O47" s="51"/>
      <c r="P47" s="52"/>
      <c r="Q47" s="52"/>
      <c r="R47" s="52"/>
      <c r="S47" s="52"/>
      <c r="T47" s="52"/>
      <c r="U47" s="52"/>
      <c r="V47" s="52"/>
      <c r="W47" s="52"/>
      <c r="X47" s="52"/>
    </row>
    <row r="48" spans="1:24" s="21" customFormat="1" ht="18.75" customHeight="1" hidden="1">
      <c r="A48" s="48"/>
      <c r="B48" s="21" t="s">
        <v>44</v>
      </c>
      <c r="C48" s="5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7"/>
      <c r="O48" s="51"/>
      <c r="P48" s="52"/>
      <c r="Q48" s="52"/>
      <c r="R48" s="52"/>
      <c r="S48" s="52"/>
      <c r="T48" s="52"/>
      <c r="U48" s="52"/>
      <c r="V48" s="52"/>
      <c r="W48" s="52"/>
      <c r="X48" s="52"/>
    </row>
    <row r="49" spans="1:24" s="21" customFormat="1" ht="6.75" customHeight="1" hidden="1">
      <c r="A49" s="52"/>
      <c r="C49" s="5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7"/>
      <c r="O49" s="51"/>
      <c r="P49" s="52"/>
      <c r="Q49" s="52"/>
      <c r="R49" s="52"/>
      <c r="S49" s="52"/>
      <c r="T49" s="52"/>
      <c r="U49" s="52"/>
      <c r="V49" s="52"/>
      <c r="W49" s="52"/>
      <c r="X49" s="52"/>
    </row>
    <row r="50" spans="1:24" s="21" customFormat="1" ht="18.75" customHeight="1" hidden="1">
      <c r="A50" s="48"/>
      <c r="B50" s="21" t="s">
        <v>45</v>
      </c>
      <c r="C50" s="53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7"/>
      <c r="O50" s="51"/>
      <c r="P50" s="52"/>
      <c r="Q50" s="52"/>
      <c r="R50" s="52"/>
      <c r="S50" s="52"/>
      <c r="T50" s="52"/>
      <c r="U50" s="52"/>
      <c r="V50" s="52"/>
      <c r="W50" s="52"/>
      <c r="X50" s="52"/>
    </row>
    <row r="51" spans="3:14" ht="24.75" customHeight="1">
      <c r="C51" s="62"/>
      <c r="D51" s="56"/>
      <c r="E51" s="56"/>
      <c r="F51" s="59"/>
      <c r="G51" s="56"/>
      <c r="H51" s="56"/>
      <c r="I51" s="59"/>
      <c r="J51" s="58"/>
      <c r="K51" s="58"/>
      <c r="L51" s="59"/>
      <c r="M51" s="56"/>
      <c r="N51" s="61"/>
    </row>
    <row r="52" spans="1:24" ht="73.5" customHeight="1" hidden="1">
      <c r="A52" s="58" t="s">
        <v>100</v>
      </c>
      <c r="B52" s="58"/>
      <c r="C52" s="58"/>
      <c r="D52" s="58"/>
      <c r="E52" s="58"/>
      <c r="F52" s="59"/>
      <c r="G52" s="56"/>
      <c r="H52" s="56"/>
      <c r="I52" s="59"/>
      <c r="J52" s="56"/>
      <c r="K52" s="56"/>
      <c r="L52" s="59"/>
      <c r="M52" s="56"/>
      <c r="N52" s="56"/>
      <c r="O52" s="56"/>
      <c r="P52" s="56"/>
      <c r="Q52" s="59"/>
      <c r="R52" s="61" t="s">
        <v>98</v>
      </c>
      <c r="S52" s="8"/>
      <c r="T52" s="8"/>
      <c r="U52" s="8"/>
      <c r="V52" s="8"/>
      <c r="W52" s="8"/>
      <c r="X52" s="8"/>
    </row>
    <row r="53" spans="1:14" s="5" customFormat="1" ht="42" customHeight="1">
      <c r="A53" s="1"/>
      <c r="B53" s="185" t="s">
        <v>102</v>
      </c>
      <c r="C53" s="185"/>
      <c r="D53" s="2"/>
      <c r="E53" s="2"/>
      <c r="F53" s="212"/>
      <c r="G53" s="3"/>
      <c r="H53" s="3"/>
      <c r="I53" s="212"/>
      <c r="J53" s="2"/>
      <c r="K53" s="2"/>
      <c r="L53" s="212"/>
      <c r="M53" s="3"/>
      <c r="N53" s="4" t="s">
        <v>101</v>
      </c>
    </row>
    <row r="54" spans="3:14" ht="40.5" customHeight="1">
      <c r="C54" s="64"/>
      <c r="D54" s="65"/>
      <c r="E54" s="65"/>
      <c r="F54" s="213"/>
      <c r="G54" s="65"/>
      <c r="H54" s="65"/>
      <c r="I54" s="213"/>
      <c r="J54" s="65"/>
      <c r="K54" s="65"/>
      <c r="L54" s="213"/>
      <c r="M54" s="65"/>
      <c r="N54" s="65"/>
    </row>
    <row r="55" spans="3:14" ht="18.75">
      <c r="C55" s="64"/>
      <c r="D55" s="65"/>
      <c r="E55" s="65"/>
      <c r="F55" s="213"/>
      <c r="G55" s="25">
        <v>142.7</v>
      </c>
      <c r="H55" s="25">
        <v>103.3</v>
      </c>
      <c r="I55" s="19"/>
      <c r="J55" s="25">
        <v>1154.2</v>
      </c>
      <c r="K55" s="25">
        <v>1213.3</v>
      </c>
      <c r="L55" s="19"/>
      <c r="M55" s="25"/>
      <c r="N55" s="26">
        <f>C55+D55-E55</f>
        <v>0</v>
      </c>
    </row>
    <row r="56" spans="2:14" ht="18.75">
      <c r="B56" s="8" t="s">
        <v>39</v>
      </c>
      <c r="C56" s="66">
        <v>27</v>
      </c>
      <c r="D56" s="99">
        <v>97.6</v>
      </c>
      <c r="E56" s="99">
        <v>107.2</v>
      </c>
      <c r="F56" s="215"/>
      <c r="G56" s="65"/>
      <c r="H56" s="65"/>
      <c r="I56" s="213"/>
      <c r="J56" s="65">
        <v>1415.7</v>
      </c>
      <c r="K56" s="65">
        <v>1436.1</v>
      </c>
      <c r="L56" s="213"/>
      <c r="M56" s="65"/>
      <c r="N56" s="26">
        <f>C56+D56-E56</f>
        <v>17.39999999999999</v>
      </c>
    </row>
    <row r="57" spans="2:14" ht="18.75">
      <c r="B57" s="8" t="s">
        <v>40</v>
      </c>
      <c r="C57" s="62">
        <v>52.2</v>
      </c>
      <c r="D57" s="56">
        <v>256.6</v>
      </c>
      <c r="E57" s="56">
        <v>288.5</v>
      </c>
      <c r="F57" s="59"/>
      <c r="G57" s="65"/>
      <c r="H57" s="65"/>
      <c r="I57" s="213"/>
      <c r="J57" s="65"/>
      <c r="K57" s="65"/>
      <c r="L57" s="213"/>
      <c r="M57" s="65"/>
      <c r="N57" s="65"/>
    </row>
    <row r="58" spans="3:14" ht="18.75">
      <c r="C58" s="62"/>
      <c r="D58" s="56"/>
      <c r="E58" s="56"/>
      <c r="F58" s="59"/>
      <c r="G58" s="65"/>
      <c r="H58" s="65"/>
      <c r="I58" s="213"/>
      <c r="J58" s="65"/>
      <c r="K58" s="65"/>
      <c r="L58" s="213"/>
      <c r="M58" s="65"/>
      <c r="N58" s="65"/>
    </row>
    <row r="59" spans="3:14" ht="18.75">
      <c r="C59" s="62"/>
      <c r="D59" s="56"/>
      <c r="E59" s="56"/>
      <c r="F59" s="59"/>
      <c r="G59" s="65"/>
      <c r="H59" s="65"/>
      <c r="I59" s="213"/>
      <c r="J59" s="65"/>
      <c r="K59" s="65"/>
      <c r="L59" s="213"/>
      <c r="M59" s="65"/>
      <c r="N59" s="65">
        <f>N9+N17+N20+N26+N36+N38+N40</f>
        <v>1571.3999999999999</v>
      </c>
    </row>
    <row r="60" spans="2:14" ht="18.75">
      <c r="B60" s="8" t="s">
        <v>41</v>
      </c>
      <c r="C60" s="62">
        <f>C9+C17+C20+C26+C36+C38+C40</f>
        <v>961.3</v>
      </c>
      <c r="D60" s="56"/>
      <c r="E60" s="56"/>
      <c r="F60" s="59"/>
      <c r="G60" s="65"/>
      <c r="H60" s="65"/>
      <c r="I60" s="213"/>
      <c r="J60" s="65"/>
      <c r="K60" s="65"/>
      <c r="L60" s="213"/>
      <c r="M60" s="65"/>
      <c r="N60" s="65">
        <f>N11+N13+N14+N16+N18+N19+N25</f>
        <v>162.40000000000003</v>
      </c>
    </row>
    <row r="61" spans="2:14" ht="18.75">
      <c r="B61" s="8" t="s">
        <v>42</v>
      </c>
      <c r="C61" s="62">
        <f>C11+C13+C14+C16+C18+C19+C25</f>
        <v>92.8</v>
      </c>
      <c r="D61" s="56"/>
      <c r="E61" s="56"/>
      <c r="F61" s="59"/>
      <c r="G61" s="65"/>
      <c r="H61" s="65"/>
      <c r="I61" s="213"/>
      <c r="J61" s="65"/>
      <c r="K61" s="65"/>
      <c r="L61" s="213"/>
      <c r="M61" s="65"/>
      <c r="N61" s="65"/>
    </row>
    <row r="62" spans="3:14" ht="18.75">
      <c r="C62" s="64"/>
      <c r="D62" s="65"/>
      <c r="E62" s="65"/>
      <c r="F62" s="213"/>
      <c r="G62" s="65"/>
      <c r="H62" s="65"/>
      <c r="I62" s="213"/>
      <c r="J62" s="65"/>
      <c r="K62" s="65"/>
      <c r="L62" s="213"/>
      <c r="M62" s="65"/>
      <c r="N62" s="65"/>
    </row>
    <row r="63" spans="3:14" ht="18.75">
      <c r="C63" s="64"/>
      <c r="D63" s="65"/>
      <c r="E63" s="65"/>
      <c r="F63" s="213"/>
      <c r="G63" s="65"/>
      <c r="H63" s="65"/>
      <c r="I63" s="213"/>
      <c r="J63" s="65"/>
      <c r="K63" s="65"/>
      <c r="L63" s="213"/>
      <c r="M63" s="65"/>
      <c r="N63" s="65"/>
    </row>
    <row r="64" spans="3:14" ht="18.75">
      <c r="C64" s="64"/>
      <c r="D64" s="65"/>
      <c r="E64" s="65"/>
      <c r="F64" s="213"/>
      <c r="G64" s="65"/>
      <c r="H64" s="65"/>
      <c r="I64" s="213"/>
      <c r="J64" s="65"/>
      <c r="K64" s="65"/>
      <c r="L64" s="213"/>
      <c r="M64" s="65"/>
      <c r="N64" s="65"/>
    </row>
    <row r="65" spans="3:14" ht="18.75">
      <c r="C65" s="64"/>
      <c r="D65" s="65"/>
      <c r="E65" s="65"/>
      <c r="F65" s="213"/>
      <c r="G65" s="65"/>
      <c r="H65" s="65"/>
      <c r="I65" s="213"/>
      <c r="J65" s="65"/>
      <c r="K65" s="65"/>
      <c r="L65" s="213"/>
      <c r="M65" s="65"/>
      <c r="N65" s="65"/>
    </row>
    <row r="66" spans="3:14" ht="18.75">
      <c r="C66" s="64"/>
      <c r="D66" s="65"/>
      <c r="E66" s="65"/>
      <c r="F66" s="213"/>
      <c r="G66" s="65"/>
      <c r="H66" s="65"/>
      <c r="I66" s="213"/>
      <c r="J66" s="65"/>
      <c r="K66" s="65"/>
      <c r="L66" s="213"/>
      <c r="M66" s="65"/>
      <c r="N66" s="65"/>
    </row>
    <row r="67" spans="3:14" ht="18.75">
      <c r="C67" s="64"/>
      <c r="D67" s="65"/>
      <c r="E67" s="65"/>
      <c r="F67" s="213"/>
      <c r="G67" s="65"/>
      <c r="H67" s="65"/>
      <c r="I67" s="213"/>
      <c r="J67" s="65"/>
      <c r="K67" s="65"/>
      <c r="L67" s="213"/>
      <c r="M67" s="65"/>
      <c r="N67" s="65"/>
    </row>
    <row r="68" spans="3:14" ht="18.75">
      <c r="C68" s="64"/>
      <c r="D68" s="65"/>
      <c r="E68" s="65"/>
      <c r="F68" s="213"/>
      <c r="G68" s="65"/>
      <c r="H68" s="65"/>
      <c r="I68" s="213"/>
      <c r="J68" s="65"/>
      <c r="K68" s="65"/>
      <c r="L68" s="213"/>
      <c r="M68" s="65"/>
      <c r="N68" s="65"/>
    </row>
    <row r="69" spans="3:14" ht="18.75">
      <c r="C69" s="64"/>
      <c r="D69" s="65"/>
      <c r="E69" s="65"/>
      <c r="F69" s="213"/>
      <c r="G69" s="65"/>
      <c r="H69" s="65"/>
      <c r="I69" s="213"/>
      <c r="J69" s="65"/>
      <c r="K69" s="65"/>
      <c r="L69" s="213"/>
      <c r="M69" s="65"/>
      <c r="N69" s="65"/>
    </row>
    <row r="70" spans="3:14" ht="18.75">
      <c r="C70" s="64"/>
      <c r="D70" s="65"/>
      <c r="E70" s="65"/>
      <c r="F70" s="213"/>
      <c r="G70" s="65"/>
      <c r="H70" s="65"/>
      <c r="I70" s="213"/>
      <c r="J70" s="65"/>
      <c r="K70" s="65"/>
      <c r="L70" s="213"/>
      <c r="M70" s="65"/>
      <c r="N70" s="65"/>
    </row>
    <row r="71" spans="3:14" ht="18.75">
      <c r="C71" s="64"/>
      <c r="D71" s="65"/>
      <c r="E71" s="65"/>
      <c r="F71" s="213"/>
      <c r="G71" s="65"/>
      <c r="H71" s="65"/>
      <c r="I71" s="213"/>
      <c r="J71" s="65"/>
      <c r="K71" s="65"/>
      <c r="L71" s="213"/>
      <c r="M71" s="65"/>
      <c r="N71" s="65"/>
    </row>
    <row r="72" spans="3:14" ht="18.75">
      <c r="C72" s="64"/>
      <c r="D72" s="65"/>
      <c r="E72" s="65"/>
      <c r="F72" s="213"/>
      <c r="G72" s="65"/>
      <c r="H72" s="65"/>
      <c r="I72" s="213"/>
      <c r="J72" s="65"/>
      <c r="K72" s="65"/>
      <c r="L72" s="213"/>
      <c r="M72" s="65"/>
      <c r="N72" s="65"/>
    </row>
    <row r="73" spans="3:14" ht="18.75">
      <c r="C73" s="64"/>
      <c r="D73" s="65"/>
      <c r="E73" s="65"/>
      <c r="F73" s="213"/>
      <c r="G73" s="65"/>
      <c r="H73" s="65"/>
      <c r="I73" s="213"/>
      <c r="J73" s="65"/>
      <c r="K73" s="65"/>
      <c r="L73" s="213"/>
      <c r="M73" s="65"/>
      <c r="N73" s="65"/>
    </row>
    <row r="74" spans="3:14" ht="18.75">
      <c r="C74" s="64"/>
      <c r="D74" s="65"/>
      <c r="E74" s="65"/>
      <c r="F74" s="213"/>
      <c r="G74" s="65"/>
      <c r="H74" s="65"/>
      <c r="I74" s="213"/>
      <c r="J74" s="65"/>
      <c r="K74" s="65"/>
      <c r="L74" s="213"/>
      <c r="M74" s="65"/>
      <c r="N74" s="65"/>
    </row>
    <row r="75" spans="3:14" ht="18.75">
      <c r="C75" s="64"/>
      <c r="D75" s="65"/>
      <c r="E75" s="65"/>
      <c r="F75" s="213"/>
      <c r="G75" s="65"/>
      <c r="H75" s="65"/>
      <c r="I75" s="213"/>
      <c r="J75" s="65"/>
      <c r="K75" s="65"/>
      <c r="L75" s="213"/>
      <c r="M75" s="65"/>
      <c r="N75" s="65"/>
    </row>
    <row r="76" spans="3:14" ht="18.75">
      <c r="C76" s="64"/>
      <c r="D76" s="65"/>
      <c r="E76" s="65"/>
      <c r="F76" s="213"/>
      <c r="G76" s="65"/>
      <c r="H76" s="65"/>
      <c r="I76" s="213"/>
      <c r="J76" s="65"/>
      <c r="K76" s="65"/>
      <c r="L76" s="213"/>
      <c r="M76" s="65"/>
      <c r="N76" s="65"/>
    </row>
    <row r="77" spans="3:14" ht="18.75">
      <c r="C77" s="64"/>
      <c r="D77" s="65"/>
      <c r="E77" s="65"/>
      <c r="F77" s="213"/>
      <c r="G77" s="65"/>
      <c r="H77" s="65"/>
      <c r="I77" s="213"/>
      <c r="J77" s="65"/>
      <c r="K77" s="65"/>
      <c r="L77" s="213"/>
      <c r="M77" s="65"/>
      <c r="N77" s="65"/>
    </row>
    <row r="78" spans="3:14" ht="18.75">
      <c r="C78" s="64"/>
      <c r="D78" s="65"/>
      <c r="E78" s="65"/>
      <c r="F78" s="213"/>
      <c r="G78" s="65"/>
      <c r="H78" s="65"/>
      <c r="I78" s="213"/>
      <c r="J78" s="65"/>
      <c r="K78" s="65"/>
      <c r="L78" s="213"/>
      <c r="M78" s="65"/>
      <c r="N78" s="65"/>
    </row>
    <row r="79" spans="3:14" ht="18.75">
      <c r="C79" s="64"/>
      <c r="D79" s="65"/>
      <c r="E79" s="65"/>
      <c r="F79" s="213"/>
      <c r="G79" s="65"/>
      <c r="H79" s="65"/>
      <c r="I79" s="213"/>
      <c r="J79" s="65"/>
      <c r="K79" s="65"/>
      <c r="L79" s="213"/>
      <c r="M79" s="65"/>
      <c r="N79" s="65"/>
    </row>
    <row r="80" spans="3:14" ht="18.75">
      <c r="C80" s="64"/>
      <c r="D80" s="65"/>
      <c r="E80" s="65"/>
      <c r="F80" s="213"/>
      <c r="G80" s="65"/>
      <c r="H80" s="65"/>
      <c r="I80" s="213"/>
      <c r="J80" s="65"/>
      <c r="K80" s="65"/>
      <c r="L80" s="213"/>
      <c r="M80" s="65"/>
      <c r="N80" s="65"/>
    </row>
    <row r="81" spans="3:14" ht="18.75">
      <c r="C81" s="64"/>
      <c r="D81" s="65"/>
      <c r="E81" s="65"/>
      <c r="F81" s="213"/>
      <c r="G81" s="65"/>
      <c r="H81" s="65"/>
      <c r="I81" s="213"/>
      <c r="J81" s="65"/>
      <c r="K81" s="65"/>
      <c r="L81" s="213"/>
      <c r="M81" s="65"/>
      <c r="N81" s="65"/>
    </row>
    <row r="82" spans="3:14" ht="18.75">
      <c r="C82" s="64"/>
      <c r="D82" s="65"/>
      <c r="E82" s="65"/>
      <c r="F82" s="213"/>
      <c r="G82" s="65"/>
      <c r="H82" s="65"/>
      <c r="I82" s="213"/>
      <c r="J82" s="65"/>
      <c r="K82" s="65"/>
      <c r="L82" s="213"/>
      <c r="M82" s="65"/>
      <c r="N82" s="65"/>
    </row>
    <row r="83" spans="3:14" ht="18.75">
      <c r="C83" s="64"/>
      <c r="D83" s="65"/>
      <c r="E83" s="65"/>
      <c r="F83" s="213"/>
      <c r="G83" s="65"/>
      <c r="H83" s="65"/>
      <c r="I83" s="213"/>
      <c r="J83" s="65"/>
      <c r="K83" s="65"/>
      <c r="L83" s="213"/>
      <c r="M83" s="65"/>
      <c r="N83" s="65"/>
    </row>
    <row r="84" spans="3:14" ht="18.75">
      <c r="C84" s="64"/>
      <c r="D84" s="65"/>
      <c r="E84" s="65"/>
      <c r="F84" s="213"/>
      <c r="G84" s="65"/>
      <c r="H84" s="65"/>
      <c r="I84" s="213"/>
      <c r="J84" s="65"/>
      <c r="K84" s="65"/>
      <c r="L84" s="213"/>
      <c r="M84" s="65"/>
      <c r="N84" s="65"/>
    </row>
    <row r="85" spans="3:14" ht="18.75">
      <c r="C85" s="64"/>
      <c r="D85" s="65"/>
      <c r="E85" s="65"/>
      <c r="F85" s="213"/>
      <c r="G85" s="65"/>
      <c r="H85" s="65"/>
      <c r="I85" s="213"/>
      <c r="J85" s="65"/>
      <c r="K85" s="65"/>
      <c r="L85" s="213"/>
      <c r="M85" s="65"/>
      <c r="N85" s="65"/>
    </row>
    <row r="86" spans="3:14" ht="18.75">
      <c r="C86" s="64"/>
      <c r="D86" s="65"/>
      <c r="E86" s="65"/>
      <c r="F86" s="213"/>
      <c r="G86" s="65"/>
      <c r="H86" s="65"/>
      <c r="I86" s="213"/>
      <c r="J86" s="65"/>
      <c r="K86" s="65"/>
      <c r="L86" s="213"/>
      <c r="M86" s="65"/>
      <c r="N86" s="65"/>
    </row>
    <row r="87" spans="3:14" ht="18.75">
      <c r="C87" s="64"/>
      <c r="D87" s="65"/>
      <c r="E87" s="65"/>
      <c r="F87" s="213"/>
      <c r="G87" s="65"/>
      <c r="H87" s="65"/>
      <c r="I87" s="213"/>
      <c r="J87" s="65"/>
      <c r="K87" s="65"/>
      <c r="L87" s="213"/>
      <c r="M87" s="65"/>
      <c r="N87" s="65"/>
    </row>
    <row r="88" spans="3:14" ht="18.75">
      <c r="C88" s="64"/>
      <c r="D88" s="65"/>
      <c r="E88" s="65"/>
      <c r="F88" s="213"/>
      <c r="G88" s="65"/>
      <c r="H88" s="65"/>
      <c r="I88" s="213"/>
      <c r="J88" s="65"/>
      <c r="K88" s="65"/>
      <c r="L88" s="213"/>
      <c r="M88" s="65"/>
      <c r="N88" s="65"/>
    </row>
    <row r="89" spans="3:14" ht="18.75">
      <c r="C89" s="64"/>
      <c r="D89" s="65"/>
      <c r="E89" s="65"/>
      <c r="F89" s="213"/>
      <c r="G89" s="65"/>
      <c r="H89" s="65"/>
      <c r="I89" s="213"/>
      <c r="J89" s="65"/>
      <c r="K89" s="65"/>
      <c r="L89" s="213"/>
      <c r="M89" s="65"/>
      <c r="N89" s="65"/>
    </row>
    <row r="90" spans="3:14" ht="18.75">
      <c r="C90" s="64"/>
      <c r="D90" s="65"/>
      <c r="E90" s="65"/>
      <c r="F90" s="213"/>
      <c r="G90" s="65"/>
      <c r="H90" s="65"/>
      <c r="I90" s="213"/>
      <c r="J90" s="65"/>
      <c r="K90" s="65"/>
      <c r="L90" s="213"/>
      <c r="M90" s="65"/>
      <c r="N90" s="65"/>
    </row>
    <row r="91" spans="3:14" ht="18.75">
      <c r="C91" s="64"/>
      <c r="D91" s="65"/>
      <c r="E91" s="65"/>
      <c r="F91" s="213"/>
      <c r="G91" s="65"/>
      <c r="H91" s="65"/>
      <c r="I91" s="213"/>
      <c r="J91" s="65"/>
      <c r="K91" s="65"/>
      <c r="L91" s="213"/>
      <c r="M91" s="65"/>
      <c r="N91" s="65"/>
    </row>
    <row r="92" spans="3:14" ht="18.75">
      <c r="C92" s="64"/>
      <c r="D92" s="65"/>
      <c r="E92" s="65"/>
      <c r="F92" s="213"/>
      <c r="G92" s="65"/>
      <c r="H92" s="65"/>
      <c r="I92" s="213"/>
      <c r="J92" s="65"/>
      <c r="K92" s="65"/>
      <c r="L92" s="213"/>
      <c r="M92" s="65"/>
      <c r="N92" s="65"/>
    </row>
    <row r="93" spans="3:14" ht="18.75">
      <c r="C93" s="64"/>
      <c r="D93" s="65"/>
      <c r="E93" s="65"/>
      <c r="F93" s="213"/>
      <c r="G93" s="65"/>
      <c r="H93" s="65"/>
      <c r="I93" s="213"/>
      <c r="J93" s="65"/>
      <c r="K93" s="65"/>
      <c r="L93" s="213"/>
      <c r="M93" s="65"/>
      <c r="N93" s="65"/>
    </row>
    <row r="94" spans="3:14" ht="18.75">
      <c r="C94" s="64"/>
      <c r="D94" s="65"/>
      <c r="E94" s="65"/>
      <c r="F94" s="213"/>
      <c r="G94" s="65"/>
      <c r="H94" s="65"/>
      <c r="I94" s="213"/>
      <c r="J94" s="65"/>
      <c r="K94" s="65"/>
      <c r="L94" s="213"/>
      <c r="M94" s="65"/>
      <c r="N94" s="65"/>
    </row>
    <row r="95" spans="3:14" ht="18.75">
      <c r="C95" s="64"/>
      <c r="D95" s="65"/>
      <c r="E95" s="65"/>
      <c r="F95" s="213"/>
      <c r="G95" s="65"/>
      <c r="H95" s="65"/>
      <c r="I95" s="213"/>
      <c r="J95" s="65"/>
      <c r="K95" s="65"/>
      <c r="L95" s="213"/>
      <c r="M95" s="65"/>
      <c r="N95" s="65"/>
    </row>
    <row r="96" spans="3:14" ht="18.75">
      <c r="C96" s="64"/>
      <c r="D96" s="65"/>
      <c r="E96" s="65"/>
      <c r="F96" s="213"/>
      <c r="G96" s="65"/>
      <c r="H96" s="65"/>
      <c r="I96" s="213"/>
      <c r="J96" s="65"/>
      <c r="K96" s="65"/>
      <c r="L96" s="213"/>
      <c r="M96" s="65"/>
      <c r="N96" s="65"/>
    </row>
    <row r="97" spans="3:14" ht="18.75">
      <c r="C97" s="64"/>
      <c r="D97" s="65"/>
      <c r="E97" s="65"/>
      <c r="F97" s="213"/>
      <c r="G97" s="65"/>
      <c r="H97" s="65"/>
      <c r="I97" s="213"/>
      <c r="J97" s="65"/>
      <c r="K97" s="65"/>
      <c r="L97" s="213"/>
      <c r="M97" s="65"/>
      <c r="N97" s="65"/>
    </row>
    <row r="98" spans="3:14" ht="18.75">
      <c r="C98" s="64"/>
      <c r="D98" s="65"/>
      <c r="E98" s="65"/>
      <c r="F98" s="213"/>
      <c r="G98" s="65"/>
      <c r="H98" s="65"/>
      <c r="I98" s="213"/>
      <c r="J98" s="65"/>
      <c r="K98" s="65"/>
      <c r="L98" s="213"/>
      <c r="M98" s="65"/>
      <c r="N98" s="65"/>
    </row>
    <row r="99" spans="3:14" ht="18.75">
      <c r="C99" s="64"/>
      <c r="D99" s="65"/>
      <c r="E99" s="65"/>
      <c r="F99" s="213"/>
      <c r="G99" s="65"/>
      <c r="H99" s="65"/>
      <c r="I99" s="213"/>
      <c r="J99" s="65"/>
      <c r="K99" s="65"/>
      <c r="L99" s="213"/>
      <c r="M99" s="65"/>
      <c r="N99" s="65"/>
    </row>
    <row r="100" spans="3:14" ht="18.75">
      <c r="C100" s="64"/>
      <c r="D100" s="65"/>
      <c r="E100" s="65"/>
      <c r="F100" s="213"/>
      <c r="G100" s="65"/>
      <c r="H100" s="65"/>
      <c r="I100" s="213"/>
      <c r="J100" s="65"/>
      <c r="K100" s="65"/>
      <c r="L100" s="213"/>
      <c r="M100" s="65"/>
      <c r="N100" s="65"/>
    </row>
    <row r="101" spans="3:14" ht="18.75">
      <c r="C101" s="64"/>
      <c r="D101" s="65"/>
      <c r="E101" s="65"/>
      <c r="F101" s="213"/>
      <c r="G101" s="65"/>
      <c r="H101" s="65"/>
      <c r="I101" s="213"/>
      <c r="J101" s="65"/>
      <c r="K101" s="65"/>
      <c r="L101" s="213"/>
      <c r="M101" s="65"/>
      <c r="N101" s="65"/>
    </row>
    <row r="102" spans="3:14" ht="18.75">
      <c r="C102" s="64"/>
      <c r="D102" s="65"/>
      <c r="E102" s="65"/>
      <c r="F102" s="213"/>
      <c r="G102" s="65"/>
      <c r="H102" s="65"/>
      <c r="I102" s="213"/>
      <c r="J102" s="65"/>
      <c r="K102" s="65"/>
      <c r="L102" s="213"/>
      <c r="M102" s="65"/>
      <c r="N102" s="65"/>
    </row>
  </sheetData>
  <sheetProtection/>
  <mergeCells count="10">
    <mergeCell ref="B53:C53"/>
    <mergeCell ref="D1:N1"/>
    <mergeCell ref="B2:N2"/>
    <mergeCell ref="B3:N3"/>
    <mergeCell ref="B4:C4"/>
    <mergeCell ref="D5:F5"/>
    <mergeCell ref="G5:I5"/>
    <mergeCell ref="J5:L5"/>
    <mergeCell ref="N5:N6"/>
    <mergeCell ref="M5:M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view="pageBreakPreview" zoomScale="73" zoomScaleNormal="75" zoomScaleSheetLayoutView="73" zoomScalePageLayoutView="0" workbookViewId="0" topLeftCell="A2">
      <pane xSplit="2" ySplit="6" topLeftCell="C38" activePane="bottomRight" state="frozen"/>
      <selection pane="topLeft" activeCell="B3" sqref="B3:U3"/>
      <selection pane="topRight" activeCell="B3" sqref="B3:U3"/>
      <selection pane="bottomLeft" activeCell="B3" sqref="B3:U3"/>
      <selection pane="bottomRight" activeCell="L4" activeCellId="2" sqref="F1:F16384 I1:I16384 L1:L16384"/>
    </sheetView>
  </sheetViews>
  <sheetFormatPr defaultColWidth="7.875" defaultRowHeight="12.75"/>
  <cols>
    <col min="1" max="1" width="6.125" style="8" customWidth="1"/>
    <col min="2" max="2" width="55.00390625" style="8" customWidth="1"/>
    <col min="3" max="3" width="16.875" style="9" customWidth="1"/>
    <col min="4" max="5" width="19.75390625" style="8" customWidth="1"/>
    <col min="6" max="6" width="13.75390625" style="21" customWidth="1"/>
    <col min="7" max="8" width="14.75390625" style="8" customWidth="1"/>
    <col min="9" max="9" width="12.00390625" style="21" customWidth="1"/>
    <col min="10" max="11" width="14.75390625" style="8" customWidth="1"/>
    <col min="12" max="12" width="12.00390625" style="21" customWidth="1"/>
    <col min="13" max="13" width="19.75390625" style="8" customWidth="1"/>
    <col min="14" max="14" width="22.875" style="10" customWidth="1"/>
    <col min="15" max="16384" width="7.875" style="8" customWidth="1"/>
  </cols>
  <sheetData>
    <row r="1" spans="4:14" ht="18.75"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2:14" ht="18.75">
      <c r="B2" s="188" t="s">
        <v>93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2:14" ht="18.75">
      <c r="B3" s="169" t="s">
        <v>112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2:14" ht="18.75">
      <c r="B4" s="187"/>
      <c r="C4" s="187"/>
      <c r="N4" s="10" t="s">
        <v>48</v>
      </c>
    </row>
    <row r="5" spans="1:14" ht="36.75" customHeight="1">
      <c r="A5" s="11" t="s">
        <v>36</v>
      </c>
      <c r="B5" s="12"/>
      <c r="C5" s="131" t="s">
        <v>1</v>
      </c>
      <c r="D5" s="171" t="s">
        <v>114</v>
      </c>
      <c r="E5" s="172"/>
      <c r="F5" s="173"/>
      <c r="G5" s="182" t="s">
        <v>116</v>
      </c>
      <c r="H5" s="183"/>
      <c r="I5" s="184"/>
      <c r="J5" s="171" t="s">
        <v>117</v>
      </c>
      <c r="K5" s="172"/>
      <c r="L5" s="173"/>
      <c r="M5" s="167" t="s">
        <v>118</v>
      </c>
      <c r="N5" s="167" t="s">
        <v>113</v>
      </c>
    </row>
    <row r="6" spans="1:14" ht="55.5" customHeight="1">
      <c r="A6" s="14" t="s">
        <v>9</v>
      </c>
      <c r="B6" s="133" t="s">
        <v>46</v>
      </c>
      <c r="C6" s="113" t="s">
        <v>107</v>
      </c>
      <c r="D6" s="13" t="s">
        <v>115</v>
      </c>
      <c r="E6" s="13" t="s">
        <v>47</v>
      </c>
      <c r="F6" s="15" t="s">
        <v>0</v>
      </c>
      <c r="G6" s="13" t="s">
        <v>115</v>
      </c>
      <c r="H6" s="13" t="s">
        <v>47</v>
      </c>
      <c r="I6" s="15" t="s">
        <v>0</v>
      </c>
      <c r="J6" s="13" t="s">
        <v>115</v>
      </c>
      <c r="K6" s="13" t="s">
        <v>47</v>
      </c>
      <c r="L6" s="15" t="s">
        <v>0</v>
      </c>
      <c r="M6" s="168"/>
      <c r="N6" s="168"/>
    </row>
    <row r="7" spans="1:14" s="21" customFormat="1" ht="36" customHeight="1">
      <c r="A7" s="88"/>
      <c r="B7" s="89" t="s">
        <v>6</v>
      </c>
      <c r="C7" s="18">
        <f>SUM(C8:C42)</f>
        <v>126797.3</v>
      </c>
      <c r="D7" s="19">
        <f>SUM(D8:D42)</f>
        <v>76957.49999999999</v>
      </c>
      <c r="E7" s="19">
        <f>SUM(E8:E42)</f>
        <v>104261.00000000001</v>
      </c>
      <c r="F7" s="19">
        <f aca="true" t="shared" si="0" ref="F7:F46">E7/D7*100</f>
        <v>135.47867329370112</v>
      </c>
      <c r="G7" s="19">
        <f>SUM(G8:G42)</f>
        <v>79071.99999999999</v>
      </c>
      <c r="H7" s="19">
        <f>SUM(H8:H42)</f>
        <v>54823.600000000006</v>
      </c>
      <c r="I7" s="19">
        <f aca="true" t="shared" si="1" ref="I7:I44">H7/G7*100</f>
        <v>69.33377175232701</v>
      </c>
      <c r="J7" s="19">
        <f>SUM(J8:J42)</f>
        <v>156029.50000000003</v>
      </c>
      <c r="K7" s="19">
        <f>SUM(K8:K42)</f>
        <v>159084.6</v>
      </c>
      <c r="L7" s="19">
        <f aca="true" t="shared" si="2" ref="L7:L44">K7/J7*100</f>
        <v>101.95802716793938</v>
      </c>
      <c r="M7" s="20">
        <f>SUM(M8:M42)</f>
        <v>-3055.100000000004</v>
      </c>
      <c r="N7" s="20">
        <f>SUM(N8:N42)</f>
        <v>123742.2</v>
      </c>
    </row>
    <row r="8" spans="1:14" ht="36.75" customHeight="1">
      <c r="A8" s="90">
        <v>1</v>
      </c>
      <c r="B8" s="23" t="s">
        <v>12</v>
      </c>
      <c r="C8" s="24">
        <v>7132</v>
      </c>
      <c r="D8" s="25">
        <v>7233.4</v>
      </c>
      <c r="E8" s="25">
        <v>6396.5</v>
      </c>
      <c r="F8" s="19">
        <f t="shared" si="0"/>
        <v>88.43006055243731</v>
      </c>
      <c r="G8" s="25">
        <v>6914</v>
      </c>
      <c r="H8" s="25">
        <v>735.6</v>
      </c>
      <c r="I8" s="19">
        <f t="shared" si="1"/>
        <v>10.63928261498409</v>
      </c>
      <c r="J8" s="25">
        <f>D8+G8</f>
        <v>14147.4</v>
      </c>
      <c r="K8" s="25">
        <f>E8+H8</f>
        <v>7132.1</v>
      </c>
      <c r="L8" s="19">
        <f t="shared" si="2"/>
        <v>50.412796697626426</v>
      </c>
      <c r="M8" s="25">
        <f>J8-K8</f>
        <v>7015.299999999999</v>
      </c>
      <c r="N8" s="91">
        <f>C8+J8-K8</f>
        <v>14147.300000000001</v>
      </c>
    </row>
    <row r="9" spans="1:14" ht="41.25" customHeight="1">
      <c r="A9" s="90">
        <v>2</v>
      </c>
      <c r="B9" s="27" t="s">
        <v>35</v>
      </c>
      <c r="C9" s="24">
        <v>198.1</v>
      </c>
      <c r="D9" s="25">
        <v>98.9</v>
      </c>
      <c r="E9" s="25">
        <v>99.1</v>
      </c>
      <c r="F9" s="19">
        <f t="shared" si="0"/>
        <v>100.20222446916077</v>
      </c>
      <c r="G9" s="25">
        <v>96.7</v>
      </c>
      <c r="H9" s="25"/>
      <c r="I9" s="19">
        <f t="shared" si="1"/>
        <v>0</v>
      </c>
      <c r="J9" s="25">
        <f aca="true" t="shared" si="3" ref="J9:J42">D9+G9</f>
        <v>195.60000000000002</v>
      </c>
      <c r="K9" s="25">
        <f aca="true" t="shared" si="4" ref="K9:K42">E9+H9</f>
        <v>99.1</v>
      </c>
      <c r="L9" s="19">
        <f t="shared" si="2"/>
        <v>50.664621676891606</v>
      </c>
      <c r="M9" s="25">
        <f aca="true" t="shared" si="5" ref="M9:M44">J9-K9</f>
        <v>96.50000000000003</v>
      </c>
      <c r="N9" s="91">
        <f>C9+J9-K9</f>
        <v>294.6</v>
      </c>
    </row>
    <row r="10" spans="1:14" ht="35.25" customHeight="1">
      <c r="A10" s="90">
        <v>3</v>
      </c>
      <c r="B10" s="28" t="s">
        <v>97</v>
      </c>
      <c r="C10" s="24"/>
      <c r="D10" s="30"/>
      <c r="E10" s="30"/>
      <c r="F10" s="31" t="e">
        <f t="shared" si="0"/>
        <v>#DIV/0!</v>
      </c>
      <c r="G10" s="30"/>
      <c r="H10" s="30"/>
      <c r="I10" s="31" t="e">
        <f t="shared" si="1"/>
        <v>#DIV/0!</v>
      </c>
      <c r="J10" s="25"/>
      <c r="K10" s="25"/>
      <c r="L10" s="19"/>
      <c r="M10" s="25"/>
      <c r="N10" s="92">
        <f>C10+D10-E10</f>
        <v>0</v>
      </c>
    </row>
    <row r="11" spans="1:14" ht="24" customHeight="1">
      <c r="A11" s="90">
        <v>4</v>
      </c>
      <c r="B11" s="23" t="s">
        <v>109</v>
      </c>
      <c r="C11" s="24"/>
      <c r="D11" s="25"/>
      <c r="E11" s="25"/>
      <c r="F11" s="19"/>
      <c r="G11" s="25"/>
      <c r="H11" s="25"/>
      <c r="I11" s="31" t="e">
        <f t="shared" si="1"/>
        <v>#DIV/0!</v>
      </c>
      <c r="J11" s="25"/>
      <c r="K11" s="25"/>
      <c r="L11" s="19"/>
      <c r="M11" s="25"/>
      <c r="N11" s="91">
        <f aca="true" t="shared" si="6" ref="N11:N27">C11+J11-K11</f>
        <v>0</v>
      </c>
    </row>
    <row r="12" spans="1:14" ht="24" customHeight="1">
      <c r="A12" s="90">
        <v>5</v>
      </c>
      <c r="B12" s="23" t="s">
        <v>13</v>
      </c>
      <c r="C12" s="24">
        <v>3599.5</v>
      </c>
      <c r="D12" s="25">
        <v>1949.5</v>
      </c>
      <c r="E12" s="25">
        <v>2897.1</v>
      </c>
      <c r="F12" s="19">
        <f t="shared" si="0"/>
        <v>148.60733521415747</v>
      </c>
      <c r="G12" s="25">
        <v>1898.8</v>
      </c>
      <c r="H12" s="25">
        <v>377.2</v>
      </c>
      <c r="I12" s="19">
        <f t="shared" si="1"/>
        <v>19.865178007162417</v>
      </c>
      <c r="J12" s="25">
        <f t="shared" si="3"/>
        <v>3848.3</v>
      </c>
      <c r="K12" s="25">
        <f t="shared" si="4"/>
        <v>3274.2999999999997</v>
      </c>
      <c r="L12" s="19">
        <f t="shared" si="2"/>
        <v>85.08432294779512</v>
      </c>
      <c r="M12" s="25">
        <f t="shared" si="5"/>
        <v>574.0000000000005</v>
      </c>
      <c r="N12" s="91">
        <f t="shared" si="6"/>
        <v>4173.5</v>
      </c>
    </row>
    <row r="13" spans="1:14" ht="24" customHeight="1">
      <c r="A13" s="90">
        <v>66.8</v>
      </c>
      <c r="B13" s="23" t="s">
        <v>14</v>
      </c>
      <c r="C13" s="24">
        <v>20</v>
      </c>
      <c r="D13" s="25">
        <v>18.3</v>
      </c>
      <c r="E13" s="25">
        <v>20.3</v>
      </c>
      <c r="F13" s="19">
        <f t="shared" si="0"/>
        <v>110.92896174863387</v>
      </c>
      <c r="G13" s="25">
        <v>18.3</v>
      </c>
      <c r="H13" s="25">
        <v>0</v>
      </c>
      <c r="I13" s="19">
        <f t="shared" si="1"/>
        <v>0</v>
      </c>
      <c r="J13" s="25">
        <f t="shared" si="3"/>
        <v>36.6</v>
      </c>
      <c r="K13" s="25">
        <f t="shared" si="4"/>
        <v>20.3</v>
      </c>
      <c r="L13" s="19">
        <f t="shared" si="2"/>
        <v>55.46448087431693</v>
      </c>
      <c r="M13" s="25">
        <f t="shared" si="5"/>
        <v>16.3</v>
      </c>
      <c r="N13" s="91">
        <f t="shared" si="6"/>
        <v>36.3</v>
      </c>
    </row>
    <row r="14" spans="1:14" ht="24" customHeight="1">
      <c r="A14" s="90">
        <v>7</v>
      </c>
      <c r="B14" s="23" t="s">
        <v>15</v>
      </c>
      <c r="C14" s="24"/>
      <c r="D14" s="30"/>
      <c r="E14" s="30"/>
      <c r="F14" s="19"/>
      <c r="G14" s="30"/>
      <c r="H14" s="30"/>
      <c r="I14" s="31" t="e">
        <f t="shared" si="1"/>
        <v>#DIV/0!</v>
      </c>
      <c r="J14" s="25"/>
      <c r="K14" s="25"/>
      <c r="L14" s="19"/>
      <c r="M14" s="25"/>
      <c r="N14" s="91">
        <f t="shared" si="6"/>
        <v>0</v>
      </c>
    </row>
    <row r="15" spans="1:14" ht="24" customHeight="1">
      <c r="A15" s="90">
        <v>8</v>
      </c>
      <c r="B15" s="23" t="s">
        <v>16</v>
      </c>
      <c r="C15" s="24">
        <v>1612</v>
      </c>
      <c r="D15" s="25">
        <v>1775.6</v>
      </c>
      <c r="E15" s="25">
        <v>1012</v>
      </c>
      <c r="F15" s="19">
        <f t="shared" si="0"/>
        <v>56.994818652849744</v>
      </c>
      <c r="G15" s="25">
        <v>1758.1</v>
      </c>
      <c r="H15" s="25">
        <v>600</v>
      </c>
      <c r="I15" s="19">
        <f t="shared" si="1"/>
        <v>34.127751549968714</v>
      </c>
      <c r="J15" s="25">
        <f t="shared" si="3"/>
        <v>3533.7</v>
      </c>
      <c r="K15" s="25">
        <f t="shared" si="4"/>
        <v>1612</v>
      </c>
      <c r="L15" s="19">
        <f t="shared" si="2"/>
        <v>45.61790757562895</v>
      </c>
      <c r="M15" s="25">
        <f t="shared" si="5"/>
        <v>1921.6999999999998</v>
      </c>
      <c r="N15" s="91">
        <f t="shared" si="6"/>
        <v>3533.7</v>
      </c>
    </row>
    <row r="16" spans="1:14" ht="24" customHeight="1">
      <c r="A16" s="90">
        <v>9</v>
      </c>
      <c r="B16" s="23" t="s">
        <v>17</v>
      </c>
      <c r="C16" s="24"/>
      <c r="D16" s="30"/>
      <c r="E16" s="30"/>
      <c r="F16" s="31" t="e">
        <f t="shared" si="0"/>
        <v>#DIV/0!</v>
      </c>
      <c r="G16" s="30"/>
      <c r="H16" s="30"/>
      <c r="I16" s="31" t="e">
        <f t="shared" si="1"/>
        <v>#DIV/0!</v>
      </c>
      <c r="J16" s="25"/>
      <c r="K16" s="25"/>
      <c r="L16" s="19"/>
      <c r="M16" s="25"/>
      <c r="N16" s="91">
        <f t="shared" si="6"/>
        <v>0</v>
      </c>
    </row>
    <row r="17" spans="1:14" ht="24" customHeight="1">
      <c r="A17" s="90">
        <v>10</v>
      </c>
      <c r="B17" s="28" t="s">
        <v>18</v>
      </c>
      <c r="C17" s="24">
        <v>989.2</v>
      </c>
      <c r="D17" s="25">
        <v>610.4</v>
      </c>
      <c r="E17" s="25">
        <v>254.4</v>
      </c>
      <c r="F17" s="19">
        <f t="shared" si="0"/>
        <v>41.677588466579294</v>
      </c>
      <c r="G17" s="25">
        <v>588</v>
      </c>
      <c r="H17" s="25">
        <v>0</v>
      </c>
      <c r="I17" s="19">
        <f t="shared" si="1"/>
        <v>0</v>
      </c>
      <c r="J17" s="25">
        <f t="shared" si="3"/>
        <v>1198.4</v>
      </c>
      <c r="K17" s="25">
        <f t="shared" si="4"/>
        <v>254.4</v>
      </c>
      <c r="L17" s="19">
        <f t="shared" si="2"/>
        <v>21.2283044058745</v>
      </c>
      <c r="M17" s="25">
        <f t="shared" si="5"/>
        <v>944.0000000000001</v>
      </c>
      <c r="N17" s="91">
        <f t="shared" si="6"/>
        <v>1933.2000000000003</v>
      </c>
    </row>
    <row r="18" spans="1:14" ht="24" customHeight="1">
      <c r="A18" s="90">
        <v>11</v>
      </c>
      <c r="B18" s="28" t="s">
        <v>19</v>
      </c>
      <c r="C18" s="24">
        <v>36.7</v>
      </c>
      <c r="D18" s="25">
        <v>22.9</v>
      </c>
      <c r="E18" s="25">
        <v>36.7</v>
      </c>
      <c r="F18" s="19">
        <f t="shared" si="0"/>
        <v>160.2620087336245</v>
      </c>
      <c r="G18" s="25">
        <v>22.3</v>
      </c>
      <c r="H18" s="25"/>
      <c r="I18" s="17">
        <f t="shared" si="1"/>
        <v>0</v>
      </c>
      <c r="J18" s="25">
        <f t="shared" si="3"/>
        <v>45.2</v>
      </c>
      <c r="K18" s="25">
        <f t="shared" si="4"/>
        <v>36.7</v>
      </c>
      <c r="L18" s="19">
        <f t="shared" si="2"/>
        <v>81.19469026548673</v>
      </c>
      <c r="M18" s="25">
        <f t="shared" si="5"/>
        <v>8.5</v>
      </c>
      <c r="N18" s="91">
        <f t="shared" si="6"/>
        <v>45.2</v>
      </c>
    </row>
    <row r="19" spans="1:14" ht="24" customHeight="1">
      <c r="A19" s="90">
        <v>12</v>
      </c>
      <c r="B19" s="23" t="s">
        <v>20</v>
      </c>
      <c r="C19" s="24">
        <v>1003.2</v>
      </c>
      <c r="D19" s="25">
        <v>981.6</v>
      </c>
      <c r="E19" s="25">
        <v>354.2</v>
      </c>
      <c r="F19" s="19">
        <f t="shared" si="0"/>
        <v>36.08394458027709</v>
      </c>
      <c r="G19" s="25">
        <v>957.9</v>
      </c>
      <c r="H19" s="25">
        <v>650</v>
      </c>
      <c r="I19" s="19">
        <f t="shared" si="1"/>
        <v>67.85677001774715</v>
      </c>
      <c r="J19" s="25">
        <f t="shared" si="3"/>
        <v>1939.5</v>
      </c>
      <c r="K19" s="25">
        <f t="shared" si="4"/>
        <v>1004.2</v>
      </c>
      <c r="L19" s="19">
        <f t="shared" si="2"/>
        <v>51.776230987367875</v>
      </c>
      <c r="M19" s="25">
        <f t="shared" si="5"/>
        <v>935.3</v>
      </c>
      <c r="N19" s="91">
        <f t="shared" si="6"/>
        <v>1938.4999999999998</v>
      </c>
    </row>
    <row r="20" spans="1:14" ht="24" customHeight="1">
      <c r="A20" s="90">
        <v>13</v>
      </c>
      <c r="B20" s="28" t="s">
        <v>21</v>
      </c>
      <c r="C20" s="24">
        <v>0</v>
      </c>
      <c r="D20" s="30"/>
      <c r="E20" s="30"/>
      <c r="F20" s="31" t="e">
        <f t="shared" si="0"/>
        <v>#DIV/0!</v>
      </c>
      <c r="G20" s="30"/>
      <c r="H20" s="30"/>
      <c r="I20" s="31" t="e">
        <f t="shared" si="1"/>
        <v>#DIV/0!</v>
      </c>
      <c r="J20" s="25"/>
      <c r="K20" s="25"/>
      <c r="L20" s="19"/>
      <c r="M20" s="25"/>
      <c r="N20" s="92">
        <f>C20+D20-E20</f>
        <v>0</v>
      </c>
    </row>
    <row r="21" spans="1:14" ht="24" customHeight="1">
      <c r="A21" s="90">
        <v>14</v>
      </c>
      <c r="B21" s="28" t="s">
        <v>22</v>
      </c>
      <c r="C21" s="24"/>
      <c r="D21" s="30"/>
      <c r="E21" s="30"/>
      <c r="F21" s="31" t="e">
        <f t="shared" si="0"/>
        <v>#DIV/0!</v>
      </c>
      <c r="G21" s="30"/>
      <c r="H21" s="30"/>
      <c r="I21" s="31" t="e">
        <f t="shared" si="1"/>
        <v>#DIV/0!</v>
      </c>
      <c r="J21" s="25"/>
      <c r="K21" s="25"/>
      <c r="L21" s="19"/>
      <c r="M21" s="25"/>
      <c r="N21" s="91">
        <f t="shared" si="6"/>
        <v>0</v>
      </c>
    </row>
    <row r="22" spans="1:14" ht="36.75" customHeight="1">
      <c r="A22" s="90">
        <v>15</v>
      </c>
      <c r="B22" s="28" t="s">
        <v>23</v>
      </c>
      <c r="C22" s="24"/>
      <c r="D22" s="30"/>
      <c r="E22" s="30"/>
      <c r="F22" s="31" t="e">
        <f t="shared" si="0"/>
        <v>#DIV/0!</v>
      </c>
      <c r="G22" s="30"/>
      <c r="H22" s="30"/>
      <c r="I22" s="31" t="e">
        <f t="shared" si="1"/>
        <v>#DIV/0!</v>
      </c>
      <c r="J22" s="25"/>
      <c r="K22" s="25"/>
      <c r="L22" s="19"/>
      <c r="M22" s="25"/>
      <c r="N22" s="91">
        <f t="shared" si="6"/>
        <v>0</v>
      </c>
    </row>
    <row r="23" spans="1:14" ht="24" customHeight="1">
      <c r="A23" s="90">
        <v>16</v>
      </c>
      <c r="B23" s="28" t="s">
        <v>8</v>
      </c>
      <c r="C23" s="24"/>
      <c r="D23" s="30"/>
      <c r="E23" s="30"/>
      <c r="F23" s="31" t="e">
        <f t="shared" si="0"/>
        <v>#DIV/0!</v>
      </c>
      <c r="G23" s="30"/>
      <c r="H23" s="30"/>
      <c r="I23" s="31" t="e">
        <f t="shared" si="1"/>
        <v>#DIV/0!</v>
      </c>
      <c r="J23" s="25"/>
      <c r="K23" s="25"/>
      <c r="L23" s="19"/>
      <c r="M23" s="25"/>
      <c r="N23" s="91">
        <f t="shared" si="6"/>
        <v>0</v>
      </c>
    </row>
    <row r="24" spans="1:14" ht="36.75" customHeight="1">
      <c r="A24" s="90">
        <v>17</v>
      </c>
      <c r="B24" s="28" t="s">
        <v>24</v>
      </c>
      <c r="C24" s="24">
        <v>6890.7</v>
      </c>
      <c r="D24" s="25">
        <v>3182.8</v>
      </c>
      <c r="E24" s="25">
        <v>6251</v>
      </c>
      <c r="F24" s="19">
        <f t="shared" si="0"/>
        <v>196.39939675757194</v>
      </c>
      <c r="G24" s="25">
        <v>3382.5</v>
      </c>
      <c r="H24" s="25">
        <v>640</v>
      </c>
      <c r="I24" s="19">
        <f t="shared" si="1"/>
        <v>18.920916481892093</v>
      </c>
      <c r="J24" s="25">
        <f t="shared" si="3"/>
        <v>6565.3</v>
      </c>
      <c r="K24" s="25">
        <f t="shared" si="4"/>
        <v>6891</v>
      </c>
      <c r="L24" s="19">
        <f t="shared" si="2"/>
        <v>104.96093095517341</v>
      </c>
      <c r="M24" s="25">
        <f t="shared" si="5"/>
        <v>-325.6999999999998</v>
      </c>
      <c r="N24" s="91">
        <f t="shared" si="6"/>
        <v>6565</v>
      </c>
    </row>
    <row r="25" spans="1:14" ht="24" customHeight="1">
      <c r="A25" s="90">
        <v>18</v>
      </c>
      <c r="B25" s="23" t="s">
        <v>25</v>
      </c>
      <c r="C25" s="24"/>
      <c r="D25" s="30"/>
      <c r="E25" s="30"/>
      <c r="F25" s="31" t="e">
        <f t="shared" si="0"/>
        <v>#DIV/0!</v>
      </c>
      <c r="G25" s="30"/>
      <c r="H25" s="30"/>
      <c r="I25" s="31" t="e">
        <f t="shared" si="1"/>
        <v>#DIV/0!</v>
      </c>
      <c r="J25" s="25"/>
      <c r="K25" s="25"/>
      <c r="L25" s="19"/>
      <c r="M25" s="25"/>
      <c r="N25" s="91">
        <f t="shared" si="6"/>
        <v>0</v>
      </c>
    </row>
    <row r="26" spans="1:14" ht="24" customHeight="1">
      <c r="A26" s="90">
        <v>19</v>
      </c>
      <c r="B26" s="28" t="s">
        <v>26</v>
      </c>
      <c r="C26" s="24">
        <v>711.2</v>
      </c>
      <c r="D26" s="25">
        <v>360.9</v>
      </c>
      <c r="E26" s="25">
        <v>355.6</v>
      </c>
      <c r="F26" s="19">
        <f t="shared" si="0"/>
        <v>98.53144915489057</v>
      </c>
      <c r="G26" s="25">
        <v>360.9</v>
      </c>
      <c r="H26" s="25">
        <v>0</v>
      </c>
      <c r="I26" s="19">
        <f t="shared" si="1"/>
        <v>0</v>
      </c>
      <c r="J26" s="25">
        <f t="shared" si="3"/>
        <v>721.8</v>
      </c>
      <c r="K26" s="25">
        <f t="shared" si="4"/>
        <v>355.6</v>
      </c>
      <c r="L26" s="19">
        <f t="shared" si="2"/>
        <v>49.26572457744528</v>
      </c>
      <c r="M26" s="25">
        <f t="shared" si="5"/>
        <v>366.19999999999993</v>
      </c>
      <c r="N26" s="91">
        <f t="shared" si="6"/>
        <v>1077.4</v>
      </c>
    </row>
    <row r="27" spans="1:14" ht="36.75" customHeight="1">
      <c r="A27" s="90">
        <v>20</v>
      </c>
      <c r="B27" s="28" t="s">
        <v>94</v>
      </c>
      <c r="C27" s="24">
        <v>5519</v>
      </c>
      <c r="D27" s="25">
        <v>3195.2</v>
      </c>
      <c r="E27" s="25">
        <v>4603.4</v>
      </c>
      <c r="F27" s="19">
        <f t="shared" si="0"/>
        <v>144.0723585378067</v>
      </c>
      <c r="G27" s="25">
        <v>3419.4</v>
      </c>
      <c r="H27" s="25">
        <v>0</v>
      </c>
      <c r="I27" s="19">
        <f t="shared" si="1"/>
        <v>0</v>
      </c>
      <c r="J27" s="25">
        <f t="shared" si="3"/>
        <v>6614.6</v>
      </c>
      <c r="K27" s="25">
        <f t="shared" si="4"/>
        <v>4603.4</v>
      </c>
      <c r="L27" s="19">
        <f t="shared" si="2"/>
        <v>69.59453330511293</v>
      </c>
      <c r="M27" s="25">
        <f t="shared" si="5"/>
        <v>2011.2000000000007</v>
      </c>
      <c r="N27" s="91">
        <f t="shared" si="6"/>
        <v>7530.200000000001</v>
      </c>
    </row>
    <row r="28" spans="1:14" ht="36.75" customHeight="1">
      <c r="A28" s="90">
        <v>21</v>
      </c>
      <c r="B28" s="23" t="s">
        <v>27</v>
      </c>
      <c r="C28" s="24"/>
      <c r="D28" s="36"/>
      <c r="E28" s="36"/>
      <c r="F28" s="19"/>
      <c r="G28" s="30"/>
      <c r="H28" s="30"/>
      <c r="I28" s="31" t="e">
        <f t="shared" si="1"/>
        <v>#DIV/0!</v>
      </c>
      <c r="J28" s="25"/>
      <c r="K28" s="25"/>
      <c r="L28" s="19"/>
      <c r="M28" s="25"/>
      <c r="N28" s="91"/>
    </row>
    <row r="29" spans="1:14" ht="24" customHeight="1">
      <c r="A29" s="90">
        <v>22</v>
      </c>
      <c r="B29" s="23" t="s">
        <v>2</v>
      </c>
      <c r="C29" s="24"/>
      <c r="D29" s="30"/>
      <c r="E29" s="30"/>
      <c r="F29" s="31" t="e">
        <f t="shared" si="0"/>
        <v>#DIV/0!</v>
      </c>
      <c r="G29" s="30"/>
      <c r="H29" s="30"/>
      <c r="I29" s="31" t="e">
        <f t="shared" si="1"/>
        <v>#DIV/0!</v>
      </c>
      <c r="J29" s="25"/>
      <c r="K29" s="25"/>
      <c r="L29" s="19"/>
      <c r="M29" s="25"/>
      <c r="N29" s="91"/>
    </row>
    <row r="30" spans="1:14" ht="24" customHeight="1">
      <c r="A30" s="90">
        <v>23</v>
      </c>
      <c r="B30" s="28" t="s">
        <v>3</v>
      </c>
      <c r="C30" s="24"/>
      <c r="D30" s="30"/>
      <c r="E30" s="30"/>
      <c r="F30" s="31" t="e">
        <f t="shared" si="0"/>
        <v>#DIV/0!</v>
      </c>
      <c r="G30" s="30"/>
      <c r="H30" s="30"/>
      <c r="I30" s="31" t="e">
        <f t="shared" si="1"/>
        <v>#DIV/0!</v>
      </c>
      <c r="J30" s="25"/>
      <c r="K30" s="25"/>
      <c r="L30" s="19"/>
      <c r="M30" s="25"/>
      <c r="N30" s="91"/>
    </row>
    <row r="31" spans="1:14" ht="24" customHeight="1">
      <c r="A31" s="90">
        <v>24</v>
      </c>
      <c r="B31" s="28" t="s">
        <v>4</v>
      </c>
      <c r="C31" s="24"/>
      <c r="D31" s="30"/>
      <c r="E31" s="30"/>
      <c r="F31" s="31" t="e">
        <f t="shared" si="0"/>
        <v>#DIV/0!</v>
      </c>
      <c r="G31" s="30"/>
      <c r="H31" s="30"/>
      <c r="I31" s="31" t="e">
        <f t="shared" si="1"/>
        <v>#DIV/0!</v>
      </c>
      <c r="J31" s="25"/>
      <c r="K31" s="25"/>
      <c r="L31" s="19"/>
      <c r="M31" s="25"/>
      <c r="N31" s="91"/>
    </row>
    <row r="32" spans="1:14" ht="24" customHeight="1">
      <c r="A32" s="90">
        <v>25</v>
      </c>
      <c r="B32" s="28" t="s">
        <v>11</v>
      </c>
      <c r="C32" s="24"/>
      <c r="D32" s="30"/>
      <c r="E32" s="30"/>
      <c r="F32" s="31" t="e">
        <f t="shared" si="0"/>
        <v>#DIV/0!</v>
      </c>
      <c r="G32" s="30"/>
      <c r="H32" s="30"/>
      <c r="I32" s="31" t="e">
        <f t="shared" si="1"/>
        <v>#DIV/0!</v>
      </c>
      <c r="J32" s="25"/>
      <c r="K32" s="25"/>
      <c r="L32" s="19"/>
      <c r="M32" s="25"/>
      <c r="N32" s="91"/>
    </row>
    <row r="33" spans="1:14" ht="24" customHeight="1">
      <c r="A33" s="90"/>
      <c r="B33" s="28" t="s">
        <v>103</v>
      </c>
      <c r="C33" s="24">
        <v>2911</v>
      </c>
      <c r="D33" s="25">
        <v>3236.5</v>
      </c>
      <c r="E33" s="25">
        <v>2907.4</v>
      </c>
      <c r="F33" s="19">
        <f t="shared" si="0"/>
        <v>89.83160821875484</v>
      </c>
      <c r="G33" s="25">
        <v>4187.8</v>
      </c>
      <c r="H33" s="25">
        <v>0</v>
      </c>
      <c r="I33" s="19">
        <f t="shared" si="1"/>
        <v>0</v>
      </c>
      <c r="J33" s="25">
        <f t="shared" si="3"/>
        <v>7424.3</v>
      </c>
      <c r="K33" s="25">
        <f t="shared" si="4"/>
        <v>2907.4</v>
      </c>
      <c r="L33" s="19">
        <f t="shared" si="2"/>
        <v>39.16059426477917</v>
      </c>
      <c r="M33" s="25">
        <f t="shared" si="5"/>
        <v>4516.9</v>
      </c>
      <c r="N33" s="91">
        <f aca="true" t="shared" si="7" ref="N33:N44">C33+J33-K33</f>
        <v>7427.9</v>
      </c>
    </row>
    <row r="34" spans="1:14" ht="24.75" customHeight="1">
      <c r="A34" s="93"/>
      <c r="B34" s="28" t="s">
        <v>43</v>
      </c>
      <c r="C34" s="24">
        <v>0</v>
      </c>
      <c r="D34" s="30"/>
      <c r="E34" s="30"/>
      <c r="F34" s="31" t="e">
        <f t="shared" si="0"/>
        <v>#DIV/0!</v>
      </c>
      <c r="G34" s="30"/>
      <c r="H34" s="30"/>
      <c r="I34" s="31" t="e">
        <f t="shared" si="1"/>
        <v>#DIV/0!</v>
      </c>
      <c r="J34" s="25"/>
      <c r="K34" s="25"/>
      <c r="L34" s="19"/>
      <c r="M34" s="25"/>
      <c r="N34" s="91">
        <f t="shared" si="7"/>
        <v>0</v>
      </c>
    </row>
    <row r="35" spans="1:14" ht="35.25" customHeight="1">
      <c r="A35" s="90">
        <v>26</v>
      </c>
      <c r="B35" s="28" t="s">
        <v>95</v>
      </c>
      <c r="C35" s="24">
        <v>6738.5</v>
      </c>
      <c r="D35" s="25">
        <f>656.2+2582.1</f>
        <v>3238.3</v>
      </c>
      <c r="E35" s="25">
        <f>1171.2+2784</f>
        <v>3955.2</v>
      </c>
      <c r="F35" s="19">
        <f t="shared" si="0"/>
        <v>122.13815891053947</v>
      </c>
      <c r="G35" s="25">
        <f>613.4+2639.4</f>
        <v>3252.8</v>
      </c>
      <c r="H35" s="25">
        <v>0</v>
      </c>
      <c r="I35" s="19">
        <f t="shared" si="1"/>
        <v>0</v>
      </c>
      <c r="J35" s="25">
        <f t="shared" si="3"/>
        <v>6491.1</v>
      </c>
      <c r="K35" s="25">
        <f t="shared" si="4"/>
        <v>3955.2</v>
      </c>
      <c r="L35" s="19">
        <f t="shared" si="2"/>
        <v>60.93266164440541</v>
      </c>
      <c r="M35" s="25">
        <f t="shared" si="5"/>
        <v>2535.9000000000005</v>
      </c>
      <c r="N35" s="91">
        <f t="shared" si="7"/>
        <v>9274.400000000001</v>
      </c>
    </row>
    <row r="36" spans="1:14" ht="24" customHeight="1">
      <c r="A36" s="90">
        <v>27</v>
      </c>
      <c r="B36" s="23" t="s">
        <v>28</v>
      </c>
      <c r="C36" s="24"/>
      <c r="D36" s="25"/>
      <c r="E36" s="25"/>
      <c r="F36" s="19"/>
      <c r="G36" s="25"/>
      <c r="H36" s="25"/>
      <c r="I36" s="214"/>
      <c r="J36" s="25"/>
      <c r="K36" s="25"/>
      <c r="L36" s="214"/>
      <c r="M36" s="25"/>
      <c r="N36" s="91"/>
    </row>
    <row r="37" spans="1:14" ht="24" customHeight="1">
      <c r="A37" s="90">
        <v>28</v>
      </c>
      <c r="B37" s="28" t="s">
        <v>29</v>
      </c>
      <c r="C37" s="24">
        <v>16343.2</v>
      </c>
      <c r="D37" s="25">
        <v>8028.6</v>
      </c>
      <c r="E37" s="25">
        <v>15243.2</v>
      </c>
      <c r="F37" s="19">
        <f t="shared" si="0"/>
        <v>189.86124604538773</v>
      </c>
      <c r="G37" s="25">
        <v>7958.2</v>
      </c>
      <c r="H37" s="25">
        <v>8128.6</v>
      </c>
      <c r="I37" s="19">
        <f t="shared" si="1"/>
        <v>102.14118770576262</v>
      </c>
      <c r="J37" s="25">
        <f t="shared" si="3"/>
        <v>15986.8</v>
      </c>
      <c r="K37" s="25">
        <f t="shared" si="4"/>
        <v>23371.800000000003</v>
      </c>
      <c r="L37" s="19">
        <f t="shared" si="2"/>
        <v>146.19436034728653</v>
      </c>
      <c r="M37" s="25">
        <f t="shared" si="5"/>
        <v>-7385.000000000004</v>
      </c>
      <c r="N37" s="91">
        <f t="shared" si="7"/>
        <v>8958.199999999997</v>
      </c>
    </row>
    <row r="38" spans="1:14" ht="24" customHeight="1">
      <c r="A38" s="90">
        <v>29</v>
      </c>
      <c r="B38" s="28" t="s">
        <v>30</v>
      </c>
      <c r="C38" s="24">
        <v>7900.9</v>
      </c>
      <c r="D38" s="25">
        <v>6458.2</v>
      </c>
      <c r="E38" s="25">
        <v>3887.1</v>
      </c>
      <c r="F38" s="19">
        <f t="shared" si="0"/>
        <v>60.188597442011705</v>
      </c>
      <c r="G38" s="25">
        <v>7352.6</v>
      </c>
      <c r="H38" s="25">
        <v>0</v>
      </c>
      <c r="I38" s="19">
        <f t="shared" si="1"/>
        <v>0</v>
      </c>
      <c r="J38" s="25">
        <f t="shared" si="3"/>
        <v>13810.8</v>
      </c>
      <c r="K38" s="25">
        <f t="shared" si="4"/>
        <v>3887.1</v>
      </c>
      <c r="L38" s="19">
        <f t="shared" si="2"/>
        <v>28.145364497349902</v>
      </c>
      <c r="M38" s="25">
        <f t="shared" si="5"/>
        <v>9923.699999999999</v>
      </c>
      <c r="N38" s="91">
        <f t="shared" si="7"/>
        <v>17824.6</v>
      </c>
    </row>
    <row r="39" spans="1:14" ht="36.75" customHeight="1">
      <c r="A39" s="90">
        <v>30</v>
      </c>
      <c r="B39" s="28" t="s">
        <v>96</v>
      </c>
      <c r="C39" s="24">
        <v>36780.1</v>
      </c>
      <c r="D39" s="25">
        <v>22050.2</v>
      </c>
      <c r="E39" s="25">
        <v>31600.5</v>
      </c>
      <c r="F39" s="19">
        <f t="shared" si="0"/>
        <v>143.31162529138058</v>
      </c>
      <c r="G39" s="25">
        <v>22280.1</v>
      </c>
      <c r="H39" s="25">
        <v>27229.9</v>
      </c>
      <c r="I39" s="19">
        <f t="shared" si="1"/>
        <v>122.21623780862745</v>
      </c>
      <c r="J39" s="25">
        <f t="shared" si="3"/>
        <v>44330.3</v>
      </c>
      <c r="K39" s="25">
        <f t="shared" si="4"/>
        <v>58830.4</v>
      </c>
      <c r="L39" s="19">
        <f t="shared" si="2"/>
        <v>132.7092304811833</v>
      </c>
      <c r="M39" s="25">
        <f t="shared" si="5"/>
        <v>-14500.099999999999</v>
      </c>
      <c r="N39" s="91">
        <f t="shared" si="7"/>
        <v>22279.999999999993</v>
      </c>
    </row>
    <row r="40" spans="1:14" ht="24" customHeight="1">
      <c r="A40" s="90">
        <v>31</v>
      </c>
      <c r="B40" s="28" t="s">
        <v>31</v>
      </c>
      <c r="C40" s="24">
        <v>3.9</v>
      </c>
      <c r="D40" s="25">
        <v>10.5</v>
      </c>
      <c r="E40" s="25">
        <v>1.9</v>
      </c>
      <c r="F40" s="19">
        <f t="shared" si="0"/>
        <v>18.095238095238095</v>
      </c>
      <c r="G40" s="25">
        <v>6.7</v>
      </c>
      <c r="H40" s="25">
        <v>0</v>
      </c>
      <c r="I40" s="19">
        <f t="shared" si="1"/>
        <v>0</v>
      </c>
      <c r="J40" s="25">
        <f t="shared" si="3"/>
        <v>17.2</v>
      </c>
      <c r="K40" s="25">
        <f t="shared" si="4"/>
        <v>1.9</v>
      </c>
      <c r="L40" s="19">
        <f t="shared" si="2"/>
        <v>11.046511627906977</v>
      </c>
      <c r="M40" s="25">
        <f t="shared" si="5"/>
        <v>15.299999999999999</v>
      </c>
      <c r="N40" s="91">
        <f t="shared" si="7"/>
        <v>19.2</v>
      </c>
    </row>
    <row r="41" spans="1:14" ht="37.5">
      <c r="A41" s="90">
        <v>32</v>
      </c>
      <c r="B41" s="23" t="s">
        <v>104</v>
      </c>
      <c r="C41" s="24">
        <v>16367.8</v>
      </c>
      <c r="D41" s="25">
        <v>8204.8</v>
      </c>
      <c r="E41" s="25">
        <v>14411.3</v>
      </c>
      <c r="F41" s="19">
        <f t="shared" si="0"/>
        <v>175.6447445397816</v>
      </c>
      <c r="G41" s="25">
        <v>8304.7</v>
      </c>
      <c r="H41" s="25">
        <v>10161.3</v>
      </c>
      <c r="I41" s="19">
        <f t="shared" si="1"/>
        <v>122.35601526846243</v>
      </c>
      <c r="J41" s="25">
        <f t="shared" si="3"/>
        <v>16509.5</v>
      </c>
      <c r="K41" s="25">
        <f t="shared" si="4"/>
        <v>24572.6</v>
      </c>
      <c r="L41" s="19">
        <f t="shared" si="2"/>
        <v>148.83915321481572</v>
      </c>
      <c r="M41" s="25">
        <f t="shared" si="5"/>
        <v>-8063.0999999999985</v>
      </c>
      <c r="N41" s="91">
        <f t="shared" si="7"/>
        <v>8304.700000000004</v>
      </c>
    </row>
    <row r="42" spans="1:14" ht="24" customHeight="1">
      <c r="A42" s="90">
        <v>33</v>
      </c>
      <c r="B42" s="28" t="s">
        <v>33</v>
      </c>
      <c r="C42" s="24">
        <v>12040.3</v>
      </c>
      <c r="D42" s="25">
        <v>6300.9</v>
      </c>
      <c r="E42" s="25">
        <v>9974.1</v>
      </c>
      <c r="F42" s="19">
        <f t="shared" si="0"/>
        <v>158.29643384278438</v>
      </c>
      <c r="G42" s="25">
        <v>6312.2</v>
      </c>
      <c r="H42" s="25">
        <v>6301</v>
      </c>
      <c r="I42" s="19">
        <f t="shared" si="1"/>
        <v>99.8225658249105</v>
      </c>
      <c r="J42" s="25">
        <f t="shared" si="3"/>
        <v>12613.099999999999</v>
      </c>
      <c r="K42" s="25">
        <f t="shared" si="4"/>
        <v>16275.1</v>
      </c>
      <c r="L42" s="19">
        <f t="shared" si="2"/>
        <v>129.03330664150764</v>
      </c>
      <c r="M42" s="25">
        <f t="shared" si="5"/>
        <v>-3662.000000000002</v>
      </c>
      <c r="N42" s="91">
        <f t="shared" si="7"/>
        <v>8378.299999999997</v>
      </c>
    </row>
    <row r="43" spans="1:14" s="21" customFormat="1" ht="24.75" customHeight="1">
      <c r="A43" s="48">
        <v>34</v>
      </c>
      <c r="B43" s="48" t="s">
        <v>5</v>
      </c>
      <c r="C43" s="49">
        <f>C44</f>
        <v>435149</v>
      </c>
      <c r="D43" s="49">
        <f>D44</f>
        <v>237928</v>
      </c>
      <c r="E43" s="49">
        <f>E44</f>
        <v>329029</v>
      </c>
      <c r="F43" s="19">
        <f t="shared" si="0"/>
        <v>138.2893144144447</v>
      </c>
      <c r="G43" s="49">
        <f>G44</f>
        <v>258061</v>
      </c>
      <c r="H43" s="49">
        <f>H44</f>
        <v>97866</v>
      </c>
      <c r="I43" s="19">
        <f t="shared" si="1"/>
        <v>37.92359170893703</v>
      </c>
      <c r="J43" s="26">
        <f>J44</f>
        <v>495989</v>
      </c>
      <c r="K43" s="26">
        <f>K44</f>
        <v>426895</v>
      </c>
      <c r="L43" s="19">
        <f t="shared" si="2"/>
        <v>86.06944912084744</v>
      </c>
      <c r="M43" s="50">
        <f>M44+M45</f>
        <v>69094</v>
      </c>
      <c r="N43" s="50">
        <f>N44+N45</f>
        <v>504243</v>
      </c>
    </row>
    <row r="44" spans="1:14" s="21" customFormat="1" ht="24.75" customHeight="1">
      <c r="A44" s="48"/>
      <c r="B44" s="23" t="s">
        <v>34</v>
      </c>
      <c r="C44" s="24">
        <v>435149</v>
      </c>
      <c r="D44" s="25">
        <v>237928</v>
      </c>
      <c r="E44" s="25">
        <v>329029</v>
      </c>
      <c r="F44" s="19">
        <f t="shared" si="0"/>
        <v>138.2893144144447</v>
      </c>
      <c r="G44" s="25">
        <v>258061</v>
      </c>
      <c r="H44" s="25">
        <v>97866</v>
      </c>
      <c r="I44" s="19">
        <f t="shared" si="1"/>
        <v>37.92359170893703</v>
      </c>
      <c r="J44" s="25">
        <f>D44+G44</f>
        <v>495989</v>
      </c>
      <c r="K44" s="25">
        <f>E44+H44</f>
        <v>426895</v>
      </c>
      <c r="L44" s="19">
        <f t="shared" si="2"/>
        <v>86.06944912084744</v>
      </c>
      <c r="M44" s="25">
        <f t="shared" si="5"/>
        <v>69094</v>
      </c>
      <c r="N44" s="91">
        <f t="shared" si="7"/>
        <v>504243</v>
      </c>
    </row>
    <row r="45" spans="1:14" s="21" customFormat="1" ht="24.75" customHeight="1">
      <c r="A45" s="48"/>
      <c r="B45" s="23" t="s">
        <v>43</v>
      </c>
      <c r="C45" s="24">
        <v>0</v>
      </c>
      <c r="D45" s="30"/>
      <c r="E45" s="30"/>
      <c r="F45" s="31" t="e">
        <f t="shared" si="0"/>
        <v>#DIV/0!</v>
      </c>
      <c r="G45" s="30"/>
      <c r="H45" s="30"/>
      <c r="I45" s="31"/>
      <c r="J45" s="30"/>
      <c r="K45" s="30"/>
      <c r="L45" s="19"/>
      <c r="M45" s="30"/>
      <c r="N45" s="91">
        <f>C45+D45-E45</f>
        <v>0</v>
      </c>
    </row>
    <row r="46" spans="1:14" s="21" customFormat="1" ht="24.75" customHeight="1">
      <c r="A46" s="48"/>
      <c r="B46" s="48" t="s">
        <v>7</v>
      </c>
      <c r="C46" s="49">
        <f>C7+C43</f>
        <v>561946.3</v>
      </c>
      <c r="D46" s="26">
        <f>D7+D43</f>
        <v>314885.5</v>
      </c>
      <c r="E46" s="26">
        <f>E7+E43</f>
        <v>433290</v>
      </c>
      <c r="F46" s="19">
        <f t="shared" si="0"/>
        <v>137.60239833209212</v>
      </c>
      <c r="G46" s="26">
        <f>G7+G43</f>
        <v>337133</v>
      </c>
      <c r="H46" s="26">
        <f>H7+H43</f>
        <v>152689.6</v>
      </c>
      <c r="I46" s="19">
        <f>H46/G46*100</f>
        <v>45.29061231027517</v>
      </c>
      <c r="J46" s="26">
        <f>J7+J43</f>
        <v>652018.5</v>
      </c>
      <c r="K46" s="26">
        <f>K7+K43</f>
        <v>585979.6</v>
      </c>
      <c r="L46" s="19">
        <f>K46/J46*100</f>
        <v>89.87162174079415</v>
      </c>
      <c r="M46" s="20">
        <f>M7+M43</f>
        <v>66038.9</v>
      </c>
      <c r="N46" s="20">
        <f>N7+N43</f>
        <v>627985.2</v>
      </c>
    </row>
    <row r="47" spans="1:14" s="21" customFormat="1" ht="24.75" customHeight="1" hidden="1">
      <c r="A47" s="52"/>
      <c r="B47" s="52"/>
      <c r="C47" s="5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94"/>
    </row>
    <row r="48" spans="1:14" s="21" customFormat="1" ht="18.75" customHeight="1" hidden="1">
      <c r="A48" s="48"/>
      <c r="B48" s="21" t="s">
        <v>44</v>
      </c>
      <c r="C48" s="5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94"/>
    </row>
    <row r="49" spans="1:14" s="21" customFormat="1" ht="6.75" customHeight="1" hidden="1">
      <c r="A49" s="52"/>
      <c r="C49" s="5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94"/>
    </row>
    <row r="50" spans="1:14" s="21" customFormat="1" ht="18.75" customHeight="1" hidden="1">
      <c r="A50" s="48"/>
      <c r="B50" s="21" t="s">
        <v>45</v>
      </c>
      <c r="C50" s="53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94"/>
    </row>
    <row r="51" spans="3:14" ht="24.75" customHeight="1">
      <c r="C51" s="62"/>
      <c r="D51" s="56"/>
      <c r="E51" s="56"/>
      <c r="F51" s="59"/>
      <c r="G51" s="56"/>
      <c r="H51" s="56"/>
      <c r="I51" s="59"/>
      <c r="J51" s="56"/>
      <c r="K51" s="56"/>
      <c r="L51" s="59"/>
      <c r="M51" s="56"/>
      <c r="N51" s="63"/>
    </row>
    <row r="52" spans="1:19" ht="73.5" customHeight="1" hidden="1">
      <c r="A52" s="189" t="s">
        <v>100</v>
      </c>
      <c r="B52" s="189"/>
      <c r="C52" s="189"/>
      <c r="D52" s="58"/>
      <c r="E52" s="58"/>
      <c r="F52" s="59"/>
      <c r="G52" s="56"/>
      <c r="H52" s="56"/>
      <c r="I52" s="59"/>
      <c r="J52" s="56"/>
      <c r="K52" s="56"/>
      <c r="L52" s="59"/>
      <c r="M52" s="56"/>
      <c r="N52" s="61" t="s">
        <v>98</v>
      </c>
      <c r="O52" s="56"/>
      <c r="P52" s="56"/>
      <c r="Q52" s="56"/>
      <c r="R52" s="59"/>
      <c r="S52" s="61" t="s">
        <v>98</v>
      </c>
    </row>
    <row r="53" spans="1:14" s="5" customFormat="1" ht="42.75" customHeight="1">
      <c r="A53" s="1"/>
      <c r="B53" s="185" t="s">
        <v>102</v>
      </c>
      <c r="C53" s="185"/>
      <c r="D53" s="2"/>
      <c r="E53" s="2"/>
      <c r="F53" s="212"/>
      <c r="G53" s="3"/>
      <c r="H53" s="3"/>
      <c r="I53" s="212"/>
      <c r="J53" s="3"/>
      <c r="K53" s="3"/>
      <c r="L53" s="212"/>
      <c r="M53" s="3"/>
      <c r="N53" s="4" t="s">
        <v>101</v>
      </c>
    </row>
    <row r="54" spans="3:14" ht="40.5" customHeight="1">
      <c r="C54" s="64"/>
      <c r="D54" s="65"/>
      <c r="E54" s="65"/>
      <c r="F54" s="213"/>
      <c r="G54" s="65"/>
      <c r="H54" s="65"/>
      <c r="I54" s="213"/>
      <c r="J54" s="65"/>
      <c r="K54" s="65"/>
      <c r="L54" s="213"/>
      <c r="M54" s="65"/>
      <c r="N54" s="60"/>
    </row>
    <row r="55" spans="3:14" ht="40.5" customHeight="1">
      <c r="C55" s="64"/>
      <c r="D55" s="65"/>
      <c r="E55" s="65"/>
      <c r="F55" s="213"/>
      <c r="G55" s="65"/>
      <c r="H55" s="65"/>
      <c r="I55" s="213"/>
      <c r="J55" s="65"/>
      <c r="K55" s="65"/>
      <c r="L55" s="213"/>
      <c r="M55" s="25"/>
      <c r="N55" s="60"/>
    </row>
    <row r="56" spans="2:14" ht="19.5" customHeight="1">
      <c r="B56" s="8" t="s">
        <v>39</v>
      </c>
      <c r="C56" s="66">
        <v>41.3</v>
      </c>
      <c r="D56" s="25">
        <v>94.8</v>
      </c>
      <c r="E56" s="25">
        <v>128.8</v>
      </c>
      <c r="F56" s="19"/>
      <c r="G56" s="25">
        <v>32.5</v>
      </c>
      <c r="H56" s="25">
        <v>0</v>
      </c>
      <c r="I56" s="19"/>
      <c r="J56" s="25"/>
      <c r="K56" s="25"/>
      <c r="L56" s="19"/>
      <c r="M56" s="65"/>
      <c r="N56" s="91">
        <f>C56+D56-E56</f>
        <v>7.299999999999983</v>
      </c>
    </row>
    <row r="57" spans="2:14" ht="18.75">
      <c r="B57" s="8" t="s">
        <v>40</v>
      </c>
      <c r="C57" s="62">
        <v>60</v>
      </c>
      <c r="D57" s="56">
        <v>196.2</v>
      </c>
      <c r="E57" s="56">
        <v>238.1</v>
      </c>
      <c r="F57" s="59"/>
      <c r="G57" s="56"/>
      <c r="H57" s="56"/>
      <c r="I57" s="59"/>
      <c r="J57" s="56"/>
      <c r="K57" s="56"/>
      <c r="L57" s="59"/>
      <c r="M57" s="65"/>
      <c r="N57" s="91">
        <f>C57+D57-E57</f>
        <v>18.099999999999994</v>
      </c>
    </row>
    <row r="58" spans="3:14" ht="18.75">
      <c r="C58" s="62"/>
      <c r="D58" s="56"/>
      <c r="E58" s="56"/>
      <c r="F58" s="59"/>
      <c r="G58" s="56"/>
      <c r="H58" s="56"/>
      <c r="I58" s="59"/>
      <c r="J58" s="56"/>
      <c r="K58" s="56"/>
      <c r="L58" s="59"/>
      <c r="M58" s="65"/>
      <c r="N58" s="60"/>
    </row>
    <row r="59" spans="3:14" ht="18.75">
      <c r="C59" s="62"/>
      <c r="D59" s="56"/>
      <c r="E59" s="56"/>
      <c r="F59" s="59"/>
      <c r="G59" s="56"/>
      <c r="H59" s="56"/>
      <c r="I59" s="59"/>
      <c r="J59" s="56"/>
      <c r="K59" s="56"/>
      <c r="L59" s="59"/>
      <c r="M59" s="65"/>
      <c r="N59" s="60"/>
    </row>
    <row r="60" spans="3:14" ht="18.75">
      <c r="C60" s="62"/>
      <c r="D60" s="56"/>
      <c r="E60" s="56"/>
      <c r="F60" s="59"/>
      <c r="G60" s="56"/>
      <c r="H60" s="56"/>
      <c r="I60" s="59"/>
      <c r="J60" s="56"/>
      <c r="K60" s="56"/>
      <c r="L60" s="59"/>
      <c r="M60" s="65"/>
      <c r="N60" s="60"/>
    </row>
    <row r="61" spans="2:14" ht="18.75">
      <c r="B61" s="8" t="s">
        <v>41</v>
      </c>
      <c r="C61" s="62">
        <f>C9+C17+C20+C26+C36+C38+C40</f>
        <v>9803.3</v>
      </c>
      <c r="D61" s="56"/>
      <c r="E61" s="56"/>
      <c r="F61" s="59"/>
      <c r="G61" s="56"/>
      <c r="H61" s="56"/>
      <c r="I61" s="59"/>
      <c r="J61" s="56"/>
      <c r="K61" s="56"/>
      <c r="L61" s="59"/>
      <c r="M61" s="65"/>
      <c r="N61" s="60">
        <f>N9+N17+N20+N26+N36+N38+N40</f>
        <v>21149</v>
      </c>
    </row>
    <row r="62" spans="2:14" ht="18.75">
      <c r="B62" s="8" t="s">
        <v>42</v>
      </c>
      <c r="C62" s="62">
        <f>C11+C13+C14+C16+C18+C19+C25</f>
        <v>1059.9</v>
      </c>
      <c r="D62" s="56"/>
      <c r="E62" s="56"/>
      <c r="F62" s="59"/>
      <c r="G62" s="56"/>
      <c r="H62" s="56"/>
      <c r="I62" s="59"/>
      <c r="J62" s="56"/>
      <c r="K62" s="56"/>
      <c r="L62" s="59"/>
      <c r="M62" s="65"/>
      <c r="N62" s="60">
        <f>N11+N13+N14+N16+N18+N19+N25</f>
        <v>2019.9999999999998</v>
      </c>
    </row>
    <row r="63" spans="3:14" ht="18.75">
      <c r="C63" s="64"/>
      <c r="D63" s="65"/>
      <c r="E63" s="65"/>
      <c r="F63" s="213"/>
      <c r="G63" s="65"/>
      <c r="H63" s="65"/>
      <c r="I63" s="213"/>
      <c r="J63" s="65"/>
      <c r="K63" s="65"/>
      <c r="L63" s="213"/>
      <c r="M63" s="65"/>
      <c r="N63" s="60"/>
    </row>
    <row r="64" spans="3:14" ht="18.75">
      <c r="C64" s="64"/>
      <c r="D64" s="65"/>
      <c r="E64" s="65"/>
      <c r="F64" s="213"/>
      <c r="G64" s="65"/>
      <c r="H64" s="65"/>
      <c r="I64" s="213"/>
      <c r="J64" s="65"/>
      <c r="K64" s="65"/>
      <c r="L64" s="213"/>
      <c r="M64" s="65"/>
      <c r="N64" s="60"/>
    </row>
    <row r="65" spans="3:14" ht="18.75">
      <c r="C65" s="64"/>
      <c r="D65" s="65"/>
      <c r="E65" s="65"/>
      <c r="F65" s="213"/>
      <c r="G65" s="65"/>
      <c r="H65" s="65"/>
      <c r="I65" s="213"/>
      <c r="J65" s="65"/>
      <c r="K65" s="65"/>
      <c r="L65" s="213"/>
      <c r="M65" s="65"/>
      <c r="N65" s="60"/>
    </row>
    <row r="66" spans="3:14" ht="18.75">
      <c r="C66" s="64"/>
      <c r="D66" s="65"/>
      <c r="E66" s="65"/>
      <c r="F66" s="213"/>
      <c r="G66" s="65"/>
      <c r="H66" s="65"/>
      <c r="I66" s="213"/>
      <c r="J66" s="65"/>
      <c r="K66" s="65"/>
      <c r="L66" s="213"/>
      <c r="M66" s="65"/>
      <c r="N66" s="60"/>
    </row>
    <row r="67" spans="3:14" ht="18.75">
      <c r="C67" s="64"/>
      <c r="D67" s="65"/>
      <c r="E67" s="65"/>
      <c r="F67" s="213"/>
      <c r="G67" s="65"/>
      <c r="H67" s="65"/>
      <c r="I67" s="213"/>
      <c r="J67" s="65"/>
      <c r="K67" s="65"/>
      <c r="L67" s="213"/>
      <c r="M67" s="65"/>
      <c r="N67" s="60"/>
    </row>
    <row r="68" spans="3:14" ht="18.75">
      <c r="C68" s="64"/>
      <c r="D68" s="65"/>
      <c r="E68" s="65"/>
      <c r="F68" s="213"/>
      <c r="G68" s="65"/>
      <c r="H68" s="65"/>
      <c r="I68" s="213"/>
      <c r="J68" s="65"/>
      <c r="K68" s="65"/>
      <c r="L68" s="213"/>
      <c r="M68" s="65"/>
      <c r="N68" s="60"/>
    </row>
    <row r="69" spans="3:14" ht="18.75">
      <c r="C69" s="64"/>
      <c r="D69" s="65"/>
      <c r="E69" s="65"/>
      <c r="F69" s="213"/>
      <c r="G69" s="65"/>
      <c r="H69" s="65"/>
      <c r="I69" s="213"/>
      <c r="J69" s="65"/>
      <c r="K69" s="65"/>
      <c r="L69" s="213"/>
      <c r="M69" s="65"/>
      <c r="N69" s="60"/>
    </row>
    <row r="70" spans="3:14" ht="18.75">
      <c r="C70" s="64"/>
      <c r="D70" s="65"/>
      <c r="E70" s="65"/>
      <c r="F70" s="213"/>
      <c r="G70" s="65"/>
      <c r="H70" s="65"/>
      <c r="I70" s="213"/>
      <c r="J70" s="65"/>
      <c r="K70" s="65"/>
      <c r="L70" s="213"/>
      <c r="M70" s="65"/>
      <c r="N70" s="60"/>
    </row>
    <row r="71" spans="3:14" ht="18.75">
      <c r="C71" s="64"/>
      <c r="D71" s="65"/>
      <c r="E71" s="65"/>
      <c r="F71" s="213"/>
      <c r="G71" s="65"/>
      <c r="H71" s="65"/>
      <c r="I71" s="213"/>
      <c r="J71" s="65"/>
      <c r="K71" s="65"/>
      <c r="L71" s="213"/>
      <c r="M71" s="65"/>
      <c r="N71" s="60"/>
    </row>
    <row r="72" spans="3:14" ht="18.75">
      <c r="C72" s="64"/>
      <c r="D72" s="65"/>
      <c r="E72" s="65"/>
      <c r="F72" s="213"/>
      <c r="G72" s="65"/>
      <c r="H72" s="65"/>
      <c r="I72" s="213"/>
      <c r="J72" s="65"/>
      <c r="K72" s="65"/>
      <c r="L72" s="213"/>
      <c r="M72" s="65"/>
      <c r="N72" s="60"/>
    </row>
    <row r="73" spans="3:14" ht="18.75">
      <c r="C73" s="64"/>
      <c r="D73" s="65"/>
      <c r="E73" s="65"/>
      <c r="F73" s="213"/>
      <c r="G73" s="65"/>
      <c r="H73" s="65"/>
      <c r="I73" s="213"/>
      <c r="J73" s="65"/>
      <c r="K73" s="65"/>
      <c r="L73" s="213"/>
      <c r="M73" s="65"/>
      <c r="N73" s="60"/>
    </row>
    <row r="74" spans="3:14" ht="18.75">
      <c r="C74" s="64"/>
      <c r="D74" s="65"/>
      <c r="E74" s="65"/>
      <c r="F74" s="213"/>
      <c r="G74" s="65"/>
      <c r="H74" s="65"/>
      <c r="I74" s="213"/>
      <c r="J74" s="65"/>
      <c r="K74" s="65"/>
      <c r="L74" s="213"/>
      <c r="M74" s="65"/>
      <c r="N74" s="60"/>
    </row>
    <row r="75" spans="3:14" ht="18.75">
      <c r="C75" s="64"/>
      <c r="D75" s="65"/>
      <c r="E75" s="65"/>
      <c r="F75" s="213"/>
      <c r="G75" s="65"/>
      <c r="H75" s="65"/>
      <c r="I75" s="213"/>
      <c r="J75" s="65"/>
      <c r="K75" s="65"/>
      <c r="L75" s="213"/>
      <c r="M75" s="65"/>
      <c r="N75" s="60"/>
    </row>
    <row r="76" spans="3:14" ht="18.75">
      <c r="C76" s="64"/>
      <c r="D76" s="65"/>
      <c r="E76" s="65"/>
      <c r="F76" s="213"/>
      <c r="G76" s="65"/>
      <c r="H76" s="65"/>
      <c r="I76" s="213"/>
      <c r="J76" s="65"/>
      <c r="K76" s="65"/>
      <c r="L76" s="213"/>
      <c r="M76" s="65"/>
      <c r="N76" s="60"/>
    </row>
    <row r="77" spans="3:14" ht="18.75">
      <c r="C77" s="64"/>
      <c r="D77" s="65"/>
      <c r="E77" s="65"/>
      <c r="F77" s="213"/>
      <c r="G77" s="65"/>
      <c r="H77" s="65"/>
      <c r="I77" s="213"/>
      <c r="J77" s="65"/>
      <c r="K77" s="65"/>
      <c r="L77" s="213"/>
      <c r="M77" s="65"/>
      <c r="N77" s="60"/>
    </row>
    <row r="78" spans="3:14" ht="18.75">
      <c r="C78" s="64"/>
      <c r="D78" s="65"/>
      <c r="E78" s="65"/>
      <c r="F78" s="213"/>
      <c r="G78" s="65"/>
      <c r="H78" s="65"/>
      <c r="I78" s="213"/>
      <c r="J78" s="65"/>
      <c r="K78" s="65"/>
      <c r="L78" s="213"/>
      <c r="M78" s="65"/>
      <c r="N78" s="60"/>
    </row>
    <row r="79" spans="3:14" ht="18.75">
      <c r="C79" s="64"/>
      <c r="D79" s="65"/>
      <c r="E79" s="65"/>
      <c r="F79" s="213"/>
      <c r="G79" s="65"/>
      <c r="H79" s="65"/>
      <c r="I79" s="213"/>
      <c r="J79" s="65"/>
      <c r="K79" s="65"/>
      <c r="L79" s="213"/>
      <c r="M79" s="65"/>
      <c r="N79" s="60"/>
    </row>
    <row r="80" spans="3:14" ht="18.75">
      <c r="C80" s="64"/>
      <c r="D80" s="65"/>
      <c r="E80" s="65"/>
      <c r="F80" s="213"/>
      <c r="G80" s="65"/>
      <c r="H80" s="65"/>
      <c r="I80" s="213"/>
      <c r="J80" s="65"/>
      <c r="K80" s="65"/>
      <c r="L80" s="213"/>
      <c r="M80" s="65"/>
      <c r="N80" s="60"/>
    </row>
    <row r="81" spans="3:14" ht="18.75">
      <c r="C81" s="64"/>
      <c r="D81" s="65"/>
      <c r="E81" s="65"/>
      <c r="F81" s="213"/>
      <c r="G81" s="65"/>
      <c r="H81" s="65"/>
      <c r="I81" s="213"/>
      <c r="J81" s="65"/>
      <c r="K81" s="65"/>
      <c r="L81" s="213"/>
      <c r="M81" s="65"/>
      <c r="N81" s="60"/>
    </row>
    <row r="82" spans="3:14" ht="18.75">
      <c r="C82" s="64"/>
      <c r="D82" s="65"/>
      <c r="E82" s="65"/>
      <c r="F82" s="213"/>
      <c r="G82" s="65"/>
      <c r="H82" s="65"/>
      <c r="I82" s="213"/>
      <c r="J82" s="65"/>
      <c r="K82" s="65"/>
      <c r="L82" s="213"/>
      <c r="M82" s="65"/>
      <c r="N82" s="60"/>
    </row>
    <row r="83" spans="3:14" ht="18.75">
      <c r="C83" s="64"/>
      <c r="D83" s="65"/>
      <c r="E83" s="65"/>
      <c r="F83" s="213"/>
      <c r="G83" s="65"/>
      <c r="H83" s="65"/>
      <c r="I83" s="213"/>
      <c r="J83" s="65"/>
      <c r="K83" s="65"/>
      <c r="L83" s="213"/>
      <c r="M83" s="65"/>
      <c r="N83" s="60"/>
    </row>
    <row r="84" spans="3:14" ht="18.75">
      <c r="C84" s="64"/>
      <c r="D84" s="65"/>
      <c r="E84" s="65"/>
      <c r="F84" s="213"/>
      <c r="G84" s="65"/>
      <c r="H84" s="65"/>
      <c r="I84" s="213"/>
      <c r="J84" s="65"/>
      <c r="K84" s="65"/>
      <c r="L84" s="213"/>
      <c r="M84" s="65"/>
      <c r="N84" s="60"/>
    </row>
    <row r="85" spans="3:14" ht="18.75">
      <c r="C85" s="64"/>
      <c r="D85" s="65"/>
      <c r="E85" s="65"/>
      <c r="F85" s="213"/>
      <c r="G85" s="65"/>
      <c r="H85" s="65"/>
      <c r="I85" s="213"/>
      <c r="J85" s="65"/>
      <c r="K85" s="65"/>
      <c r="L85" s="213"/>
      <c r="M85" s="65"/>
      <c r="N85" s="60"/>
    </row>
    <row r="86" spans="3:14" ht="18.75">
      <c r="C86" s="64"/>
      <c r="D86" s="65"/>
      <c r="E86" s="65"/>
      <c r="F86" s="213"/>
      <c r="G86" s="65"/>
      <c r="H86" s="65"/>
      <c r="I86" s="213"/>
      <c r="J86" s="65"/>
      <c r="K86" s="65"/>
      <c r="L86" s="213"/>
      <c r="M86" s="65"/>
      <c r="N86" s="60"/>
    </row>
    <row r="87" spans="3:14" ht="18.75">
      <c r="C87" s="64"/>
      <c r="D87" s="65"/>
      <c r="E87" s="65"/>
      <c r="F87" s="213"/>
      <c r="G87" s="65"/>
      <c r="H87" s="65"/>
      <c r="I87" s="213"/>
      <c r="J87" s="65"/>
      <c r="K87" s="65"/>
      <c r="L87" s="213"/>
      <c r="M87" s="65"/>
      <c r="N87" s="60"/>
    </row>
    <row r="88" spans="3:14" ht="18.75">
      <c r="C88" s="64"/>
      <c r="D88" s="65"/>
      <c r="E88" s="65"/>
      <c r="F88" s="213"/>
      <c r="G88" s="65"/>
      <c r="H88" s="65"/>
      <c r="I88" s="213"/>
      <c r="J88" s="65"/>
      <c r="K88" s="65"/>
      <c r="L88" s="213"/>
      <c r="M88" s="65"/>
      <c r="N88" s="60"/>
    </row>
    <row r="89" spans="3:14" ht="18.75">
      <c r="C89" s="64"/>
      <c r="D89" s="65"/>
      <c r="E89" s="65"/>
      <c r="F89" s="213"/>
      <c r="G89" s="65"/>
      <c r="H89" s="65"/>
      <c r="I89" s="213"/>
      <c r="J89" s="65"/>
      <c r="K89" s="65"/>
      <c r="L89" s="213"/>
      <c r="M89" s="65"/>
      <c r="N89" s="60"/>
    </row>
    <row r="90" spans="3:14" ht="18.75">
      <c r="C90" s="64"/>
      <c r="D90" s="65"/>
      <c r="E90" s="65"/>
      <c r="F90" s="213"/>
      <c r="G90" s="65"/>
      <c r="H90" s="65"/>
      <c r="I90" s="213"/>
      <c r="J90" s="65"/>
      <c r="K90" s="65"/>
      <c r="L90" s="213"/>
      <c r="M90" s="65"/>
      <c r="N90" s="60"/>
    </row>
    <row r="91" spans="3:14" ht="18.75">
      <c r="C91" s="64"/>
      <c r="D91" s="65"/>
      <c r="E91" s="65"/>
      <c r="F91" s="213"/>
      <c r="G91" s="65"/>
      <c r="H91" s="65"/>
      <c r="I91" s="213"/>
      <c r="J91" s="65"/>
      <c r="K91" s="65"/>
      <c r="L91" s="213"/>
      <c r="M91" s="65"/>
      <c r="N91" s="60"/>
    </row>
    <row r="92" spans="3:14" ht="18.75">
      <c r="C92" s="64"/>
      <c r="D92" s="65"/>
      <c r="E92" s="65"/>
      <c r="F92" s="213"/>
      <c r="G92" s="65"/>
      <c r="H92" s="65"/>
      <c r="I92" s="213"/>
      <c r="J92" s="65"/>
      <c r="K92" s="65"/>
      <c r="L92" s="213"/>
      <c r="M92" s="65"/>
      <c r="N92" s="60"/>
    </row>
    <row r="93" spans="3:14" ht="18.75">
      <c r="C93" s="64"/>
      <c r="D93" s="65"/>
      <c r="E93" s="65"/>
      <c r="F93" s="213"/>
      <c r="G93" s="65"/>
      <c r="H93" s="65"/>
      <c r="I93" s="213"/>
      <c r="J93" s="65"/>
      <c r="K93" s="65"/>
      <c r="L93" s="213"/>
      <c r="M93" s="65"/>
      <c r="N93" s="60"/>
    </row>
    <row r="94" spans="3:14" ht="18.75">
      <c r="C94" s="64"/>
      <c r="D94" s="65"/>
      <c r="E94" s="65"/>
      <c r="F94" s="213"/>
      <c r="G94" s="65"/>
      <c r="H94" s="65"/>
      <c r="I94" s="213"/>
      <c r="J94" s="65"/>
      <c r="K94" s="65"/>
      <c r="L94" s="213"/>
      <c r="M94" s="65"/>
      <c r="N94" s="60"/>
    </row>
    <row r="95" spans="3:14" ht="18.75">
      <c r="C95" s="64"/>
      <c r="D95" s="65"/>
      <c r="E95" s="65"/>
      <c r="F95" s="213"/>
      <c r="G95" s="65"/>
      <c r="H95" s="65"/>
      <c r="I95" s="213"/>
      <c r="J95" s="65"/>
      <c r="K95" s="65"/>
      <c r="L95" s="213"/>
      <c r="M95" s="65"/>
      <c r="N95" s="60"/>
    </row>
    <row r="96" spans="3:14" ht="18.75">
      <c r="C96" s="64"/>
      <c r="D96" s="65"/>
      <c r="E96" s="65"/>
      <c r="F96" s="213"/>
      <c r="G96" s="65"/>
      <c r="H96" s="65"/>
      <c r="I96" s="213"/>
      <c r="J96" s="65"/>
      <c r="K96" s="65"/>
      <c r="L96" s="213"/>
      <c r="M96" s="65"/>
      <c r="N96" s="60"/>
    </row>
    <row r="97" spans="3:14" ht="18.75">
      <c r="C97" s="64"/>
      <c r="D97" s="65"/>
      <c r="E97" s="65"/>
      <c r="F97" s="213"/>
      <c r="G97" s="65"/>
      <c r="H97" s="65"/>
      <c r="I97" s="213"/>
      <c r="J97" s="65"/>
      <c r="K97" s="65"/>
      <c r="L97" s="213"/>
      <c r="M97" s="65"/>
      <c r="N97" s="60"/>
    </row>
    <row r="98" spans="3:14" ht="18.75">
      <c r="C98" s="64"/>
      <c r="D98" s="65"/>
      <c r="E98" s="65"/>
      <c r="F98" s="213"/>
      <c r="G98" s="65"/>
      <c r="H98" s="65"/>
      <c r="I98" s="213"/>
      <c r="J98" s="65"/>
      <c r="K98" s="65"/>
      <c r="L98" s="213"/>
      <c r="M98" s="65"/>
      <c r="N98" s="60"/>
    </row>
    <row r="99" spans="3:14" ht="18.75">
      <c r="C99" s="64"/>
      <c r="D99" s="65"/>
      <c r="E99" s="65"/>
      <c r="F99" s="213"/>
      <c r="G99" s="65"/>
      <c r="H99" s="65"/>
      <c r="I99" s="213"/>
      <c r="J99" s="65"/>
      <c r="K99" s="65"/>
      <c r="L99" s="213"/>
      <c r="M99" s="65"/>
      <c r="N99" s="60"/>
    </row>
    <row r="100" spans="3:14" ht="18.75">
      <c r="C100" s="64"/>
      <c r="D100" s="65"/>
      <c r="E100" s="65"/>
      <c r="F100" s="213"/>
      <c r="G100" s="65"/>
      <c r="H100" s="65"/>
      <c r="I100" s="213"/>
      <c r="J100" s="65"/>
      <c r="K100" s="65"/>
      <c r="L100" s="213"/>
      <c r="M100" s="65"/>
      <c r="N100" s="60"/>
    </row>
    <row r="101" spans="3:14" ht="18.75">
      <c r="C101" s="64"/>
      <c r="D101" s="65"/>
      <c r="E101" s="65"/>
      <c r="F101" s="213"/>
      <c r="G101" s="65"/>
      <c r="H101" s="65"/>
      <c r="I101" s="213"/>
      <c r="J101" s="65"/>
      <c r="K101" s="65"/>
      <c r="L101" s="213"/>
      <c r="M101" s="65"/>
      <c r="N101" s="60"/>
    </row>
    <row r="102" spans="3:14" ht="18.75">
      <c r="C102" s="64"/>
      <c r="D102" s="65"/>
      <c r="E102" s="65"/>
      <c r="F102" s="213"/>
      <c r="G102" s="65"/>
      <c r="H102" s="65"/>
      <c r="I102" s="213"/>
      <c r="J102" s="65"/>
      <c r="K102" s="65"/>
      <c r="L102" s="213"/>
      <c r="M102" s="65"/>
      <c r="N102" s="60"/>
    </row>
    <row r="103" spans="3:14" ht="18.75">
      <c r="C103" s="64"/>
      <c r="D103" s="65"/>
      <c r="E103" s="65"/>
      <c r="F103" s="213"/>
      <c r="G103" s="65"/>
      <c r="H103" s="65"/>
      <c r="I103" s="213"/>
      <c r="J103" s="65"/>
      <c r="K103" s="65"/>
      <c r="L103" s="213"/>
      <c r="N103" s="60"/>
    </row>
  </sheetData>
  <sheetProtection/>
  <mergeCells count="11">
    <mergeCell ref="D1:N1"/>
    <mergeCell ref="B2:N2"/>
    <mergeCell ref="B3:N3"/>
    <mergeCell ref="B4:C4"/>
    <mergeCell ref="M5:M6"/>
    <mergeCell ref="A52:C52"/>
    <mergeCell ref="B53:C53"/>
    <mergeCell ref="D5:F5"/>
    <mergeCell ref="G5:I5"/>
    <mergeCell ref="J5:L5"/>
    <mergeCell ref="N5:N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S102"/>
  <sheetViews>
    <sheetView view="pageBreakPreview" zoomScale="70" zoomScaleNormal="75" zoomScaleSheetLayoutView="70" zoomScalePageLayoutView="0" workbookViewId="0" topLeftCell="A1">
      <pane xSplit="6" ySplit="8" topLeftCell="G18" activePane="bottomRight" state="frozen"/>
      <selection pane="topLeft" activeCell="A1" sqref="A1"/>
      <selection pane="topRight" activeCell="G1" sqref="G1"/>
      <selection pane="bottomLeft" activeCell="A9" sqref="A9"/>
      <selection pane="bottomRight" activeCell="G34" sqref="G34"/>
    </sheetView>
  </sheetViews>
  <sheetFormatPr defaultColWidth="7.875" defaultRowHeight="12.75"/>
  <cols>
    <col min="1" max="1" width="6.125" style="7" customWidth="1"/>
    <col min="2" max="2" width="54.875" style="8" customWidth="1"/>
    <col min="3" max="3" width="16.75390625" style="9" customWidth="1"/>
    <col min="4" max="5" width="19.75390625" style="8" customWidth="1"/>
    <col min="6" max="6" width="13.75390625" style="21" customWidth="1"/>
    <col min="7" max="8" width="14.75390625" style="8" customWidth="1"/>
    <col min="9" max="9" width="11.875" style="21" customWidth="1"/>
    <col min="10" max="10" width="18.75390625" style="8" customWidth="1"/>
    <col min="11" max="11" width="19.875" style="8" customWidth="1"/>
    <col min="12" max="12" width="13.75390625" style="21" customWidth="1"/>
    <col min="13" max="13" width="19.75390625" style="8" customWidth="1"/>
    <col min="14" max="14" width="22.625" style="8" customWidth="1"/>
    <col min="15" max="16384" width="7.875" style="8" customWidth="1"/>
  </cols>
  <sheetData>
    <row r="1" spans="4:14" ht="18.75"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2:14" ht="18.75">
      <c r="B2" s="188" t="s">
        <v>84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2:14" ht="35.25" customHeight="1">
      <c r="B3" s="169" t="s">
        <v>112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2:14" ht="18.75">
      <c r="B4" s="187"/>
      <c r="C4" s="187"/>
      <c r="N4" s="10" t="s">
        <v>48</v>
      </c>
    </row>
    <row r="5" spans="1:14" ht="36.75" customHeight="1">
      <c r="A5" s="11" t="s">
        <v>36</v>
      </c>
      <c r="B5" s="12"/>
      <c r="C5" s="131" t="s">
        <v>1</v>
      </c>
      <c r="D5" s="171" t="s">
        <v>114</v>
      </c>
      <c r="E5" s="172"/>
      <c r="F5" s="173"/>
      <c r="G5" s="182" t="s">
        <v>116</v>
      </c>
      <c r="H5" s="183"/>
      <c r="I5" s="184"/>
      <c r="J5" s="171" t="s">
        <v>117</v>
      </c>
      <c r="K5" s="172"/>
      <c r="L5" s="173"/>
      <c r="M5" s="167" t="s">
        <v>118</v>
      </c>
      <c r="N5" s="167" t="s">
        <v>113</v>
      </c>
    </row>
    <row r="6" spans="1:14" ht="55.5" customHeight="1">
      <c r="A6" s="14" t="s">
        <v>9</v>
      </c>
      <c r="B6" s="133" t="s">
        <v>46</v>
      </c>
      <c r="C6" s="113" t="s">
        <v>107</v>
      </c>
      <c r="D6" s="13" t="s">
        <v>115</v>
      </c>
      <c r="E6" s="13" t="s">
        <v>47</v>
      </c>
      <c r="F6" s="15" t="s">
        <v>0</v>
      </c>
      <c r="G6" s="13" t="s">
        <v>115</v>
      </c>
      <c r="H6" s="13" t="s">
        <v>47</v>
      </c>
      <c r="I6" s="15" t="s">
        <v>0</v>
      </c>
      <c r="J6" s="13" t="s">
        <v>115</v>
      </c>
      <c r="K6" s="13" t="s">
        <v>47</v>
      </c>
      <c r="L6" s="15" t="s">
        <v>0</v>
      </c>
      <c r="M6" s="168"/>
      <c r="N6" s="168"/>
    </row>
    <row r="7" spans="1:14" s="21" customFormat="1" ht="36" customHeight="1">
      <c r="A7" s="15"/>
      <c r="B7" s="16" t="s">
        <v>49</v>
      </c>
      <c r="C7" s="18">
        <f>SUM(C8:C42)</f>
        <v>4497.2</v>
      </c>
      <c r="D7" s="19">
        <f>SUM(D8:D42)</f>
        <v>10705.400000000001</v>
      </c>
      <c r="E7" s="19">
        <f>SUM(E8:E42)</f>
        <v>496</v>
      </c>
      <c r="F7" s="19">
        <f aca="true" t="shared" si="0" ref="F7:F21">E7/D7*100</f>
        <v>4.63317578044725</v>
      </c>
      <c r="G7" s="19">
        <f>SUM(G8:G42)</f>
        <v>9027.599999999999</v>
      </c>
      <c r="H7" s="19">
        <f>SUM(H8:H42)</f>
        <v>3923.4999999999995</v>
      </c>
      <c r="I7" s="19">
        <f>H7/G7*100</f>
        <v>43.46116354291284</v>
      </c>
      <c r="J7" s="19">
        <f>SUM(J8:J42)</f>
        <v>19733.000000000004</v>
      </c>
      <c r="K7" s="19">
        <f>SUM(K8:K42)</f>
        <v>4419.5</v>
      </c>
      <c r="L7" s="19">
        <f>K7/J7*100</f>
        <v>22.396493184006484</v>
      </c>
      <c r="M7" s="20">
        <f>SUM(M8:M42)</f>
        <v>15313.5</v>
      </c>
      <c r="N7" s="20">
        <f>SUM(N8:N42)</f>
        <v>19810.7</v>
      </c>
    </row>
    <row r="8" spans="1:14" s="67" customFormat="1" ht="36.75" customHeight="1">
      <c r="A8" s="22">
        <v>1</v>
      </c>
      <c r="B8" s="23" t="s">
        <v>50</v>
      </c>
      <c r="C8" s="24">
        <v>220.4</v>
      </c>
      <c r="D8" s="25">
        <v>367.6</v>
      </c>
      <c r="E8" s="25">
        <v>119.3</v>
      </c>
      <c r="F8" s="19">
        <f t="shared" si="0"/>
        <v>32.45375408052231</v>
      </c>
      <c r="G8" s="25">
        <v>299.7</v>
      </c>
      <c r="H8" s="25">
        <v>161.8</v>
      </c>
      <c r="I8" s="19">
        <f>H8/G8*100</f>
        <v>53.987320653987325</v>
      </c>
      <c r="J8" s="25">
        <f>D8+G8</f>
        <v>667.3</v>
      </c>
      <c r="K8" s="25">
        <f>E8+H8</f>
        <v>281.1</v>
      </c>
      <c r="L8" s="19">
        <f>K8/J8*100</f>
        <v>42.124981267795604</v>
      </c>
      <c r="M8" s="19">
        <f>J8-K8</f>
        <v>386.19999999999993</v>
      </c>
      <c r="N8" s="26">
        <f>C8+J8-K8</f>
        <v>606.5999999999999</v>
      </c>
    </row>
    <row r="9" spans="1:14" s="67" customFormat="1" ht="36.75" customHeight="1">
      <c r="A9" s="22">
        <v>2</v>
      </c>
      <c r="B9" s="27" t="s">
        <v>81</v>
      </c>
      <c r="C9" s="24">
        <v>68.7</v>
      </c>
      <c r="D9" s="25">
        <v>237.4</v>
      </c>
      <c r="E9" s="25">
        <v>10.7</v>
      </c>
      <c r="F9" s="19">
        <f t="shared" si="0"/>
        <v>4.507160909856781</v>
      </c>
      <c r="G9" s="25">
        <v>198.8</v>
      </c>
      <c r="H9" s="25">
        <v>64.7</v>
      </c>
      <c r="I9" s="19">
        <f aca="true" t="shared" si="1" ref="I9:I21">H9/G9*100</f>
        <v>32.54527162977867</v>
      </c>
      <c r="J9" s="25">
        <f aca="true" t="shared" si="2" ref="J9:K13">D9+G9</f>
        <v>436.20000000000005</v>
      </c>
      <c r="K9" s="25">
        <f t="shared" si="2"/>
        <v>75.4</v>
      </c>
      <c r="L9" s="19">
        <f>K9/J9*100</f>
        <v>17.285648784961026</v>
      </c>
      <c r="M9" s="19">
        <f aca="true" t="shared" si="3" ref="M9:M44">J9-K9</f>
        <v>360.80000000000007</v>
      </c>
      <c r="N9" s="26">
        <f aca="true" t="shared" si="4" ref="N9:N19">C9+J9-K9</f>
        <v>429.5</v>
      </c>
    </row>
    <row r="10" spans="1:14" s="67" customFormat="1" ht="36.75" customHeight="1">
      <c r="A10" s="22">
        <v>3</v>
      </c>
      <c r="B10" s="28" t="s">
        <v>97</v>
      </c>
      <c r="C10" s="24"/>
      <c r="D10" s="25"/>
      <c r="E10" s="25"/>
      <c r="F10" s="214"/>
      <c r="G10" s="30"/>
      <c r="H10" s="30"/>
      <c r="I10" s="19"/>
      <c r="J10" s="25"/>
      <c r="K10" s="25"/>
      <c r="L10" s="19"/>
      <c r="M10" s="19"/>
      <c r="N10" s="26"/>
    </row>
    <row r="11" spans="1:14" s="67" customFormat="1" ht="24" customHeight="1">
      <c r="A11" s="22">
        <v>4</v>
      </c>
      <c r="B11" s="23" t="s">
        <v>110</v>
      </c>
      <c r="C11" s="24">
        <v>1.2</v>
      </c>
      <c r="D11" s="25">
        <f>24.4+80.5</f>
        <v>104.9</v>
      </c>
      <c r="E11" s="25">
        <f>66.2</f>
        <v>66.2</v>
      </c>
      <c r="F11" s="19">
        <f t="shared" si="0"/>
        <v>63.10772163965681</v>
      </c>
      <c r="G11" s="25">
        <f>28.9+71.4</f>
        <v>100.30000000000001</v>
      </c>
      <c r="H11" s="25">
        <f>24.4+11.1</f>
        <v>35.5</v>
      </c>
      <c r="I11" s="19">
        <f t="shared" si="1"/>
        <v>35.393818544366894</v>
      </c>
      <c r="J11" s="25">
        <f>D11+G11</f>
        <v>205.20000000000002</v>
      </c>
      <c r="K11" s="25">
        <f>E11+H11</f>
        <v>101.7</v>
      </c>
      <c r="L11" s="19">
        <f>K11/J11*100</f>
        <v>49.56140350877193</v>
      </c>
      <c r="M11" s="19">
        <f>J11-K11</f>
        <v>103.50000000000001</v>
      </c>
      <c r="N11" s="26">
        <f t="shared" si="4"/>
        <v>104.7</v>
      </c>
    </row>
    <row r="12" spans="1:14" s="67" customFormat="1" ht="24" customHeight="1">
      <c r="A12" s="22">
        <v>5</v>
      </c>
      <c r="B12" s="23" t="s">
        <v>79</v>
      </c>
      <c r="C12" s="24">
        <v>365.5</v>
      </c>
      <c r="D12" s="25">
        <v>241.5</v>
      </c>
      <c r="E12" s="25">
        <v>35</v>
      </c>
      <c r="F12" s="19">
        <f t="shared" si="0"/>
        <v>14.492753623188406</v>
      </c>
      <c r="G12" s="25">
        <v>189.6</v>
      </c>
      <c r="H12" s="25">
        <v>190.9</v>
      </c>
      <c r="I12" s="19">
        <f t="shared" si="1"/>
        <v>100.68565400843883</v>
      </c>
      <c r="J12" s="25">
        <f t="shared" si="2"/>
        <v>431.1</v>
      </c>
      <c r="K12" s="25">
        <f t="shared" si="2"/>
        <v>225.9</v>
      </c>
      <c r="L12" s="19">
        <f>K12/J12*100</f>
        <v>52.4008350730689</v>
      </c>
      <c r="M12" s="19">
        <f t="shared" si="3"/>
        <v>205.20000000000002</v>
      </c>
      <c r="N12" s="26">
        <f t="shared" si="4"/>
        <v>570.7</v>
      </c>
    </row>
    <row r="13" spans="1:14" s="67" customFormat="1" ht="24" customHeight="1">
      <c r="A13" s="22">
        <v>6</v>
      </c>
      <c r="B13" s="23" t="s">
        <v>51</v>
      </c>
      <c r="C13" s="24">
        <v>99.3</v>
      </c>
      <c r="D13" s="25">
        <v>78.1</v>
      </c>
      <c r="E13" s="25">
        <v>14.4</v>
      </c>
      <c r="F13" s="19">
        <f t="shared" si="0"/>
        <v>18.437900128040972</v>
      </c>
      <c r="G13" s="25">
        <v>68.8</v>
      </c>
      <c r="H13" s="25">
        <v>56.7</v>
      </c>
      <c r="I13" s="19">
        <f t="shared" si="1"/>
        <v>82.41279069767442</v>
      </c>
      <c r="J13" s="25">
        <f t="shared" si="2"/>
        <v>146.89999999999998</v>
      </c>
      <c r="K13" s="25">
        <f t="shared" si="2"/>
        <v>71.10000000000001</v>
      </c>
      <c r="L13" s="19">
        <f>K13/J13*100</f>
        <v>48.40027229407762</v>
      </c>
      <c r="M13" s="19">
        <f t="shared" si="3"/>
        <v>75.79999999999997</v>
      </c>
      <c r="N13" s="26">
        <f t="shared" si="4"/>
        <v>175.09999999999997</v>
      </c>
    </row>
    <row r="14" spans="1:14" s="67" customFormat="1" ht="24" customHeight="1">
      <c r="A14" s="22">
        <v>7</v>
      </c>
      <c r="B14" s="23" t="s">
        <v>52</v>
      </c>
      <c r="C14" s="24">
        <v>-4.2</v>
      </c>
      <c r="D14" s="25">
        <v>199</v>
      </c>
      <c r="E14" s="25">
        <v>0</v>
      </c>
      <c r="F14" s="19">
        <f t="shared" si="0"/>
        <v>0</v>
      </c>
      <c r="G14" s="36">
        <v>165.5</v>
      </c>
      <c r="H14" s="36">
        <v>169.9</v>
      </c>
      <c r="I14" s="19">
        <f t="shared" si="1"/>
        <v>102.65861027190333</v>
      </c>
      <c r="J14" s="25">
        <f aca="true" t="shared" si="5" ref="J14:J22">D14+G14</f>
        <v>364.5</v>
      </c>
      <c r="K14" s="25">
        <f aca="true" t="shared" si="6" ref="K14:K22">E14+H14</f>
        <v>169.9</v>
      </c>
      <c r="L14" s="19">
        <f aca="true" t="shared" si="7" ref="L14:L22">K14/J14*100</f>
        <v>46.611796982167355</v>
      </c>
      <c r="M14" s="19">
        <f t="shared" si="3"/>
        <v>194.6</v>
      </c>
      <c r="N14" s="26">
        <f t="shared" si="4"/>
        <v>190.4</v>
      </c>
    </row>
    <row r="15" spans="1:14" s="67" customFormat="1" ht="24" customHeight="1">
      <c r="A15" s="22">
        <v>8</v>
      </c>
      <c r="B15" s="23" t="s">
        <v>53</v>
      </c>
      <c r="C15" s="24">
        <v>-3.5</v>
      </c>
      <c r="D15" s="25">
        <v>481.1</v>
      </c>
      <c r="E15" s="25">
        <v>5</v>
      </c>
      <c r="F15" s="19">
        <f t="shared" si="0"/>
        <v>1.0392849719393056</v>
      </c>
      <c r="G15" s="25">
        <v>357.2</v>
      </c>
      <c r="H15" s="25">
        <v>403.4</v>
      </c>
      <c r="I15" s="19">
        <f t="shared" si="1"/>
        <v>112.9339305711086</v>
      </c>
      <c r="J15" s="25">
        <f t="shared" si="5"/>
        <v>838.3</v>
      </c>
      <c r="K15" s="25">
        <f t="shared" si="6"/>
        <v>408.4</v>
      </c>
      <c r="L15" s="19">
        <f t="shared" si="7"/>
        <v>48.71764284862221</v>
      </c>
      <c r="M15" s="19">
        <f t="shared" si="3"/>
        <v>429.9</v>
      </c>
      <c r="N15" s="26">
        <f t="shared" si="4"/>
        <v>426.4</v>
      </c>
    </row>
    <row r="16" spans="1:14" s="67" customFormat="1" ht="24" customHeight="1">
      <c r="A16" s="22">
        <v>9</v>
      </c>
      <c r="B16" s="23" t="s">
        <v>54</v>
      </c>
      <c r="C16" s="24">
        <v>5.3</v>
      </c>
      <c r="D16" s="25">
        <v>34.7</v>
      </c>
      <c r="E16" s="25">
        <v>0</v>
      </c>
      <c r="F16" s="19">
        <f t="shared" si="0"/>
        <v>0</v>
      </c>
      <c r="G16" s="25">
        <v>73.3</v>
      </c>
      <c r="H16" s="25">
        <v>50</v>
      </c>
      <c r="I16" s="19">
        <f t="shared" si="1"/>
        <v>68.21282401091405</v>
      </c>
      <c r="J16" s="25">
        <f t="shared" si="5"/>
        <v>108</v>
      </c>
      <c r="K16" s="25">
        <f t="shared" si="6"/>
        <v>50</v>
      </c>
      <c r="L16" s="19">
        <f t="shared" si="7"/>
        <v>46.2962962962963</v>
      </c>
      <c r="M16" s="19">
        <f>J16-K16</f>
        <v>58</v>
      </c>
      <c r="N16" s="26">
        <f t="shared" si="4"/>
        <v>63.3</v>
      </c>
    </row>
    <row r="17" spans="1:14" s="67" customFormat="1" ht="24" customHeight="1">
      <c r="A17" s="22">
        <v>10</v>
      </c>
      <c r="B17" s="28" t="s">
        <v>55</v>
      </c>
      <c r="C17" s="24">
        <v>989.9</v>
      </c>
      <c r="D17" s="25">
        <v>706</v>
      </c>
      <c r="E17" s="25">
        <v>0</v>
      </c>
      <c r="F17" s="19">
        <f t="shared" si="0"/>
        <v>0</v>
      </c>
      <c r="G17" s="25">
        <v>604.5</v>
      </c>
      <c r="H17" s="25">
        <v>59.7</v>
      </c>
      <c r="I17" s="19">
        <f t="shared" si="1"/>
        <v>9.875930521091812</v>
      </c>
      <c r="J17" s="25">
        <f t="shared" si="5"/>
        <v>1310.5</v>
      </c>
      <c r="K17" s="25">
        <f t="shared" si="6"/>
        <v>59.7</v>
      </c>
      <c r="L17" s="19">
        <f t="shared" si="7"/>
        <v>4.555513162914918</v>
      </c>
      <c r="M17" s="19">
        <f t="shared" si="3"/>
        <v>1250.8</v>
      </c>
      <c r="N17" s="26">
        <f t="shared" si="4"/>
        <v>2240.7000000000003</v>
      </c>
    </row>
    <row r="18" spans="1:14" s="104" customFormat="1" ht="24" customHeight="1">
      <c r="A18" s="105">
        <v>11</v>
      </c>
      <c r="B18" s="120" t="s">
        <v>56</v>
      </c>
      <c r="C18" s="101">
        <v>54.3</v>
      </c>
      <c r="D18" s="102">
        <v>172.6</v>
      </c>
      <c r="E18" s="102">
        <v>25.8</v>
      </c>
      <c r="F18" s="117">
        <f t="shared" si="0"/>
        <v>14.947856315179605</v>
      </c>
      <c r="G18" s="102">
        <v>128.4</v>
      </c>
      <c r="H18" s="102">
        <v>41.2</v>
      </c>
      <c r="I18" s="117">
        <f t="shared" si="1"/>
        <v>32.08722741433022</v>
      </c>
      <c r="J18" s="102">
        <f t="shared" si="5"/>
        <v>301</v>
      </c>
      <c r="K18" s="102">
        <f t="shared" si="6"/>
        <v>67</v>
      </c>
      <c r="L18" s="117">
        <f t="shared" si="7"/>
        <v>22.259136212624583</v>
      </c>
      <c r="M18" s="117">
        <f t="shared" si="3"/>
        <v>234</v>
      </c>
      <c r="N18" s="103">
        <f t="shared" si="4"/>
        <v>288.3</v>
      </c>
    </row>
    <row r="19" spans="1:14" s="67" customFormat="1" ht="24" customHeight="1">
      <c r="A19" s="22">
        <v>12</v>
      </c>
      <c r="B19" s="23" t="s">
        <v>80</v>
      </c>
      <c r="C19" s="24">
        <v>1.6</v>
      </c>
      <c r="D19" s="25">
        <v>202.6</v>
      </c>
      <c r="E19" s="25">
        <v>55.4</v>
      </c>
      <c r="F19" s="19">
        <f t="shared" si="0"/>
        <v>27.344521224086872</v>
      </c>
      <c r="G19" s="25">
        <v>247.7</v>
      </c>
      <c r="H19" s="25">
        <v>127.4</v>
      </c>
      <c r="I19" s="19">
        <f t="shared" si="1"/>
        <v>51.433185304804205</v>
      </c>
      <c r="J19" s="25">
        <f t="shared" si="5"/>
        <v>450.29999999999995</v>
      </c>
      <c r="K19" s="25">
        <f t="shared" si="6"/>
        <v>182.8</v>
      </c>
      <c r="L19" s="19">
        <f t="shared" si="7"/>
        <v>40.59515878303354</v>
      </c>
      <c r="M19" s="19">
        <f t="shared" si="3"/>
        <v>267.49999999999994</v>
      </c>
      <c r="N19" s="26">
        <f t="shared" si="4"/>
        <v>269.09999999999997</v>
      </c>
    </row>
    <row r="20" spans="1:14" s="67" customFormat="1" ht="24" customHeight="1">
      <c r="A20" s="22">
        <v>13</v>
      </c>
      <c r="B20" s="28" t="s">
        <v>57</v>
      </c>
      <c r="C20" s="24">
        <v>0</v>
      </c>
      <c r="D20" s="30">
        <v>0</v>
      </c>
      <c r="E20" s="30">
        <v>0</v>
      </c>
      <c r="F20" s="214" t="e">
        <f t="shared" si="0"/>
        <v>#DIV/0!</v>
      </c>
      <c r="G20" s="30"/>
      <c r="H20" s="30"/>
      <c r="I20" s="31" t="e">
        <f t="shared" si="1"/>
        <v>#DIV/0!</v>
      </c>
      <c r="J20" s="25"/>
      <c r="K20" s="25"/>
      <c r="L20" s="19"/>
      <c r="M20" s="19"/>
      <c r="N20" s="26"/>
    </row>
    <row r="21" spans="1:14" ht="24" customHeight="1">
      <c r="A21" s="22">
        <v>14</v>
      </c>
      <c r="B21" s="28" t="s">
        <v>58</v>
      </c>
      <c r="C21" s="24">
        <v>0</v>
      </c>
      <c r="D21" s="30"/>
      <c r="E21" s="30"/>
      <c r="F21" s="214" t="e">
        <f t="shared" si="0"/>
        <v>#DIV/0!</v>
      </c>
      <c r="G21" s="30"/>
      <c r="H21" s="30"/>
      <c r="I21" s="31" t="e">
        <f t="shared" si="1"/>
        <v>#DIV/0!</v>
      </c>
      <c r="J21" s="25"/>
      <c r="K21" s="25"/>
      <c r="L21" s="19"/>
      <c r="M21" s="19"/>
      <c r="N21" s="26"/>
    </row>
    <row r="22" spans="1:14" ht="31.5" customHeight="1">
      <c r="A22" s="22">
        <v>15</v>
      </c>
      <c r="B22" s="28" t="s">
        <v>59</v>
      </c>
      <c r="C22" s="24">
        <v>198.4</v>
      </c>
      <c r="D22" s="25">
        <v>85.8</v>
      </c>
      <c r="E22" s="25">
        <v>13.4</v>
      </c>
      <c r="F22" s="19">
        <f>E22/D22*100</f>
        <v>15.61771561771562</v>
      </c>
      <c r="G22" s="36">
        <v>99</v>
      </c>
      <c r="H22" s="36">
        <v>26.3</v>
      </c>
      <c r="I22" s="31"/>
      <c r="J22" s="25">
        <f t="shared" si="5"/>
        <v>184.8</v>
      </c>
      <c r="K22" s="25">
        <f t="shared" si="6"/>
        <v>39.7</v>
      </c>
      <c r="L22" s="19">
        <f t="shared" si="7"/>
        <v>21.482683982683984</v>
      </c>
      <c r="M22" s="19">
        <f>J22-K22</f>
        <v>145.10000000000002</v>
      </c>
      <c r="N22" s="26">
        <f>C22+J22-K22</f>
        <v>343.50000000000006</v>
      </c>
    </row>
    <row r="23" spans="1:14" ht="22.5" customHeight="1">
      <c r="A23" s="22">
        <v>16</v>
      </c>
      <c r="B23" s="28" t="s">
        <v>60</v>
      </c>
      <c r="C23" s="190" t="s">
        <v>91</v>
      </c>
      <c r="D23" s="191"/>
      <c r="E23" s="191"/>
      <c r="F23" s="191"/>
      <c r="G23" s="191"/>
      <c r="H23" s="191"/>
      <c r="I23" s="191"/>
      <c r="J23" s="191"/>
      <c r="K23" s="191"/>
      <c r="L23" s="192"/>
      <c r="M23" s="19"/>
      <c r="N23" s="34"/>
    </row>
    <row r="24" spans="1:14" s="67" customFormat="1" ht="36.75" customHeight="1">
      <c r="A24" s="22">
        <v>17</v>
      </c>
      <c r="B24" s="28" t="s">
        <v>61</v>
      </c>
      <c r="C24" s="24">
        <v>173.5</v>
      </c>
      <c r="D24" s="25">
        <v>520.5</v>
      </c>
      <c r="E24" s="25">
        <v>46</v>
      </c>
      <c r="F24" s="19">
        <f>E24/D24*100</f>
        <v>8.837656099903938</v>
      </c>
      <c r="G24" s="25">
        <v>406.7</v>
      </c>
      <c r="H24" s="25">
        <v>276.7</v>
      </c>
      <c r="I24" s="19">
        <f>H24/G24*100</f>
        <v>68.03540693385787</v>
      </c>
      <c r="J24" s="25">
        <f>D24+G24</f>
        <v>927.2</v>
      </c>
      <c r="K24" s="25">
        <f>E24+H24</f>
        <v>322.7</v>
      </c>
      <c r="L24" s="19">
        <f>K24/J24*100</f>
        <v>34.8037100949094</v>
      </c>
      <c r="M24" s="19">
        <f t="shared" si="3"/>
        <v>604.5</v>
      </c>
      <c r="N24" s="26">
        <f>C24+J24-K24</f>
        <v>778</v>
      </c>
    </row>
    <row r="25" spans="1:14" s="67" customFormat="1" ht="24.75" customHeight="1">
      <c r="A25" s="22">
        <v>18</v>
      </c>
      <c r="B25" s="23" t="s">
        <v>62</v>
      </c>
      <c r="C25" s="24">
        <v>10.2</v>
      </c>
      <c r="D25" s="25">
        <v>294.2</v>
      </c>
      <c r="E25" s="25">
        <v>21.1</v>
      </c>
      <c r="F25" s="19">
        <f>E25/D25*100</f>
        <v>7.171991842284162</v>
      </c>
      <c r="G25" s="36">
        <v>208.9</v>
      </c>
      <c r="H25" s="36">
        <v>155.1</v>
      </c>
      <c r="I25" s="19">
        <f>H25/G25*100</f>
        <v>74.2460507419818</v>
      </c>
      <c r="J25" s="25">
        <f>D25+G25</f>
        <v>503.1</v>
      </c>
      <c r="K25" s="25">
        <f>E25+H25</f>
        <v>176.2</v>
      </c>
      <c r="L25" s="19">
        <f>K25/J25*100</f>
        <v>35.02285827867223</v>
      </c>
      <c r="M25" s="19">
        <f t="shared" si="3"/>
        <v>326.90000000000003</v>
      </c>
      <c r="N25" s="26">
        <f>C25+J25-K25</f>
        <v>337.1000000000001</v>
      </c>
    </row>
    <row r="26" spans="1:14" ht="25.5" customHeight="1">
      <c r="A26" s="22">
        <v>19</v>
      </c>
      <c r="B26" s="28" t="s">
        <v>63</v>
      </c>
      <c r="C26" s="24"/>
      <c r="D26" s="36"/>
      <c r="E26" s="36"/>
      <c r="F26" s="31"/>
      <c r="G26" s="25"/>
      <c r="H26" s="25"/>
      <c r="I26" s="19"/>
      <c r="J26" s="25"/>
      <c r="K26" s="25"/>
      <c r="L26" s="19"/>
      <c r="M26" s="19"/>
      <c r="N26" s="26"/>
    </row>
    <row r="27" spans="1:14" ht="27.75" customHeight="1">
      <c r="A27" s="22">
        <v>20</v>
      </c>
      <c r="B27" s="28" t="s">
        <v>94</v>
      </c>
      <c r="C27" s="24">
        <v>5.2</v>
      </c>
      <c r="D27" s="25">
        <v>35.8</v>
      </c>
      <c r="E27" s="25">
        <v>14.3</v>
      </c>
      <c r="F27" s="19">
        <f>E27/D27*100</f>
        <v>39.944134078212294</v>
      </c>
      <c r="G27" s="25">
        <v>19.5</v>
      </c>
      <c r="H27" s="25">
        <v>0</v>
      </c>
      <c r="I27" s="19">
        <f>H27/G27*100</f>
        <v>0</v>
      </c>
      <c r="J27" s="25">
        <f>D27+G27</f>
        <v>55.3</v>
      </c>
      <c r="K27" s="25">
        <f>E27+H27</f>
        <v>14.3</v>
      </c>
      <c r="L27" s="19">
        <f>K27/J27*100</f>
        <v>25.858951175406876</v>
      </c>
      <c r="M27" s="19">
        <f t="shared" si="3"/>
        <v>41</v>
      </c>
      <c r="N27" s="26">
        <f>C27+J27-K27</f>
        <v>46.2</v>
      </c>
    </row>
    <row r="28" spans="1:14" s="67" customFormat="1" ht="36.75" customHeight="1">
      <c r="A28" s="22">
        <v>21</v>
      </c>
      <c r="B28" s="23" t="s">
        <v>64</v>
      </c>
      <c r="C28" s="24">
        <v>85.7</v>
      </c>
      <c r="D28" s="25">
        <v>255.7</v>
      </c>
      <c r="E28" s="25">
        <v>0</v>
      </c>
      <c r="F28" s="19">
        <f>E28/D28*100</f>
        <v>0</v>
      </c>
      <c r="G28" s="36">
        <v>224.7</v>
      </c>
      <c r="H28" s="36">
        <v>268.1</v>
      </c>
      <c r="I28" s="19">
        <f>H28/G28*100</f>
        <v>119.31464174454831</v>
      </c>
      <c r="J28" s="25">
        <f>D28+G28</f>
        <v>480.4</v>
      </c>
      <c r="K28" s="25">
        <f>E28+H28</f>
        <v>268.1</v>
      </c>
      <c r="L28" s="19">
        <f>K28/J28*100</f>
        <v>55.80766028309743</v>
      </c>
      <c r="M28" s="19">
        <f>J28-K28</f>
        <v>212.29999999999995</v>
      </c>
      <c r="N28" s="26">
        <f>C28+J28-K28</f>
        <v>298</v>
      </c>
    </row>
    <row r="29" spans="1:14" ht="24" customHeight="1">
      <c r="A29" s="22">
        <v>22</v>
      </c>
      <c r="B29" s="23" t="s">
        <v>65</v>
      </c>
      <c r="C29" s="37"/>
      <c r="D29" s="68"/>
      <c r="E29" s="68"/>
      <c r="F29" s="68"/>
      <c r="G29" s="38"/>
      <c r="H29" s="38"/>
      <c r="I29" s="38"/>
      <c r="J29" s="38"/>
      <c r="K29" s="38"/>
      <c r="L29" s="38"/>
      <c r="M29" s="179"/>
      <c r="N29" s="39"/>
    </row>
    <row r="30" spans="1:14" ht="24" customHeight="1">
      <c r="A30" s="22">
        <v>23</v>
      </c>
      <c r="B30" s="28" t="s">
        <v>66</v>
      </c>
      <c r="C30" s="69" t="s">
        <v>91</v>
      </c>
      <c r="D30" s="70"/>
      <c r="E30" s="70"/>
      <c r="F30" s="70"/>
      <c r="G30" s="70"/>
      <c r="H30" s="70"/>
      <c r="I30" s="70"/>
      <c r="J30" s="70"/>
      <c r="K30" s="70"/>
      <c r="L30" s="70"/>
      <c r="M30" s="180"/>
      <c r="N30" s="41"/>
    </row>
    <row r="31" spans="1:14" ht="24" customHeight="1">
      <c r="A31" s="22">
        <v>24</v>
      </c>
      <c r="B31" s="28" t="s">
        <v>67</v>
      </c>
      <c r="C31" s="42"/>
      <c r="D31" s="71"/>
      <c r="E31" s="71"/>
      <c r="F31" s="71"/>
      <c r="G31" s="43"/>
      <c r="H31" s="43"/>
      <c r="I31" s="43"/>
      <c r="J31" s="43"/>
      <c r="K31" s="43"/>
      <c r="L31" s="43"/>
      <c r="M31" s="181"/>
      <c r="N31" s="44"/>
    </row>
    <row r="32" spans="1:14" s="67" customFormat="1" ht="24" customHeight="1">
      <c r="A32" s="22">
        <v>25</v>
      </c>
      <c r="B32" s="28" t="s">
        <v>68</v>
      </c>
      <c r="C32" s="24"/>
      <c r="D32" s="30"/>
      <c r="E32" s="30"/>
      <c r="F32" s="31"/>
      <c r="G32" s="30"/>
      <c r="H32" s="30"/>
      <c r="I32" s="31"/>
      <c r="J32" s="30"/>
      <c r="K32" s="30"/>
      <c r="L32" s="31"/>
      <c r="M32" s="19"/>
      <c r="N32" s="45"/>
    </row>
    <row r="33" spans="1:14" s="67" customFormat="1" ht="24" customHeight="1">
      <c r="A33" s="22"/>
      <c r="B33" s="28" t="s">
        <v>103</v>
      </c>
      <c r="C33" s="24">
        <f>2728.2+10.3</f>
        <v>2738.5</v>
      </c>
      <c r="D33" s="25">
        <f>2331.5+32.8</f>
        <v>2364.3</v>
      </c>
      <c r="E33" s="25">
        <v>0</v>
      </c>
      <c r="F33" s="19">
        <f aca="true" t="shared" si="8" ref="F33:F45">E33/D33*100</f>
        <v>0</v>
      </c>
      <c r="G33" s="25">
        <f>1961.6+26.9</f>
        <v>1988.5</v>
      </c>
      <c r="H33" s="25">
        <f>153.2+13.9</f>
        <v>167.1</v>
      </c>
      <c r="I33" s="19">
        <f aca="true" t="shared" si="9" ref="I33:I45">H33/G33*100</f>
        <v>8.40331908473724</v>
      </c>
      <c r="J33" s="25">
        <f aca="true" t="shared" si="10" ref="J33:K42">D33+G33</f>
        <v>4352.8</v>
      </c>
      <c r="K33" s="25">
        <f t="shared" si="10"/>
        <v>167.1</v>
      </c>
      <c r="L33" s="19">
        <f>K33/J33*100</f>
        <v>3.838908288917478</v>
      </c>
      <c r="M33" s="19">
        <f t="shared" si="3"/>
        <v>4185.7</v>
      </c>
      <c r="N33" s="26">
        <f>C33+J33-K33</f>
        <v>6924.2</v>
      </c>
    </row>
    <row r="34" spans="1:14" ht="24.75" customHeight="1">
      <c r="A34" s="46"/>
      <c r="B34" s="28" t="s">
        <v>69</v>
      </c>
      <c r="C34" s="24">
        <v>0</v>
      </c>
      <c r="D34" s="30"/>
      <c r="E34" s="30"/>
      <c r="F34" s="31"/>
      <c r="G34" s="25"/>
      <c r="H34" s="25"/>
      <c r="I34" s="31" t="e">
        <f t="shared" si="9"/>
        <v>#DIV/0!</v>
      </c>
      <c r="J34" s="25"/>
      <c r="K34" s="25"/>
      <c r="L34" s="19"/>
      <c r="M34" s="19"/>
      <c r="N34" s="26"/>
    </row>
    <row r="35" spans="1:14" s="67" customFormat="1" ht="36.75" customHeight="1">
      <c r="A35" s="22">
        <v>26</v>
      </c>
      <c r="B35" s="28" t="s">
        <v>95</v>
      </c>
      <c r="C35" s="24">
        <v>307.2</v>
      </c>
      <c r="D35" s="25">
        <v>381.3</v>
      </c>
      <c r="E35" s="25">
        <v>0</v>
      </c>
      <c r="F35" s="19">
        <f t="shared" si="8"/>
        <v>0</v>
      </c>
      <c r="G35" s="25">
        <v>303.6</v>
      </c>
      <c r="H35" s="25">
        <v>0</v>
      </c>
      <c r="I35" s="19">
        <f t="shared" si="9"/>
        <v>0</v>
      </c>
      <c r="J35" s="25">
        <f t="shared" si="10"/>
        <v>684.9000000000001</v>
      </c>
      <c r="K35" s="25">
        <f t="shared" si="10"/>
        <v>0</v>
      </c>
      <c r="L35" s="19">
        <f aca="true" t="shared" si="11" ref="L35:L45">K35/J35*100</f>
        <v>0</v>
      </c>
      <c r="M35" s="19">
        <f t="shared" si="3"/>
        <v>684.9000000000001</v>
      </c>
      <c r="N35" s="26">
        <f aca="true" t="shared" si="12" ref="N35:N42">C35+J35-K35</f>
        <v>992.1000000000001</v>
      </c>
    </row>
    <row r="36" spans="1:14" s="67" customFormat="1" ht="24" customHeight="1">
      <c r="A36" s="22">
        <v>27</v>
      </c>
      <c r="B36" s="23" t="s">
        <v>70</v>
      </c>
      <c r="C36" s="24">
        <v>28.7</v>
      </c>
      <c r="D36" s="25">
        <v>141</v>
      </c>
      <c r="E36" s="25">
        <v>14</v>
      </c>
      <c r="F36" s="19">
        <f t="shared" si="8"/>
        <v>9.929078014184398</v>
      </c>
      <c r="G36" s="25">
        <v>119.8</v>
      </c>
      <c r="H36" s="25">
        <v>51</v>
      </c>
      <c r="I36" s="19">
        <f t="shared" si="9"/>
        <v>42.57095158597663</v>
      </c>
      <c r="J36" s="25">
        <f t="shared" si="10"/>
        <v>260.8</v>
      </c>
      <c r="K36" s="25">
        <f t="shared" si="10"/>
        <v>65</v>
      </c>
      <c r="L36" s="19">
        <f t="shared" si="11"/>
        <v>24.92331288343558</v>
      </c>
      <c r="M36" s="19">
        <f t="shared" si="3"/>
        <v>195.8</v>
      </c>
      <c r="N36" s="26">
        <f t="shared" si="12"/>
        <v>224.5</v>
      </c>
    </row>
    <row r="37" spans="1:14" s="67" customFormat="1" ht="24" customHeight="1">
      <c r="A37" s="22">
        <v>28</v>
      </c>
      <c r="B37" s="28" t="s">
        <v>71</v>
      </c>
      <c r="C37" s="24">
        <v>-127.2</v>
      </c>
      <c r="D37" s="25">
        <v>404.6</v>
      </c>
      <c r="E37" s="25">
        <v>8.8</v>
      </c>
      <c r="F37" s="19">
        <f t="shared" si="8"/>
        <v>2.1749876421156698</v>
      </c>
      <c r="G37" s="25">
        <v>352.1</v>
      </c>
      <c r="H37" s="25">
        <v>216.7</v>
      </c>
      <c r="I37" s="19">
        <f t="shared" si="9"/>
        <v>61.54501562056234</v>
      </c>
      <c r="J37" s="25">
        <f t="shared" si="10"/>
        <v>756.7</v>
      </c>
      <c r="K37" s="25">
        <f t="shared" si="10"/>
        <v>225.5</v>
      </c>
      <c r="L37" s="19">
        <f t="shared" si="11"/>
        <v>29.800449319413243</v>
      </c>
      <c r="M37" s="19">
        <f t="shared" si="3"/>
        <v>531.2</v>
      </c>
      <c r="N37" s="26">
        <f t="shared" si="12"/>
        <v>404</v>
      </c>
    </row>
    <row r="38" spans="1:14" s="67" customFormat="1" ht="24" customHeight="1">
      <c r="A38" s="22">
        <v>29</v>
      </c>
      <c r="B38" s="28" t="s">
        <v>72</v>
      </c>
      <c r="C38" s="24">
        <v>34</v>
      </c>
      <c r="D38" s="25">
        <v>653.9</v>
      </c>
      <c r="E38" s="25">
        <v>0</v>
      </c>
      <c r="F38" s="19">
        <f t="shared" si="8"/>
        <v>0</v>
      </c>
      <c r="G38" s="25">
        <v>511.4</v>
      </c>
      <c r="H38" s="25">
        <v>485.6</v>
      </c>
      <c r="I38" s="19">
        <f t="shared" si="9"/>
        <v>94.95502542041456</v>
      </c>
      <c r="J38" s="25">
        <f t="shared" si="10"/>
        <v>1165.3</v>
      </c>
      <c r="K38" s="25">
        <f t="shared" si="10"/>
        <v>485.6</v>
      </c>
      <c r="L38" s="19">
        <f t="shared" si="11"/>
        <v>41.6716725306788</v>
      </c>
      <c r="M38" s="19">
        <f t="shared" si="3"/>
        <v>679.6999999999999</v>
      </c>
      <c r="N38" s="26">
        <f t="shared" si="12"/>
        <v>713.6999999999999</v>
      </c>
    </row>
    <row r="39" spans="1:14" ht="36.75" customHeight="1">
      <c r="A39" s="22">
        <v>30</v>
      </c>
      <c r="B39" s="28" t="s">
        <v>96</v>
      </c>
      <c r="C39" s="24">
        <v>-476.4</v>
      </c>
      <c r="D39" s="25">
        <v>1109.5</v>
      </c>
      <c r="E39" s="25">
        <v>17.3</v>
      </c>
      <c r="F39" s="19">
        <f t="shared" si="8"/>
        <v>1.5592609283461019</v>
      </c>
      <c r="G39" s="25">
        <v>857.9</v>
      </c>
      <c r="H39" s="25">
        <v>138.6</v>
      </c>
      <c r="I39" s="19">
        <f t="shared" si="9"/>
        <v>16.155729105956404</v>
      </c>
      <c r="J39" s="25">
        <f t="shared" si="10"/>
        <v>1967.4</v>
      </c>
      <c r="K39" s="25">
        <f t="shared" si="10"/>
        <v>155.9</v>
      </c>
      <c r="L39" s="19">
        <f t="shared" si="11"/>
        <v>7.924163871098912</v>
      </c>
      <c r="M39" s="19">
        <f t="shared" si="3"/>
        <v>1811.5</v>
      </c>
      <c r="N39" s="26">
        <f t="shared" si="12"/>
        <v>1335.1</v>
      </c>
    </row>
    <row r="40" spans="1:14" ht="24.75" customHeight="1">
      <c r="A40" s="22">
        <v>31</v>
      </c>
      <c r="B40" s="28" t="s">
        <v>73</v>
      </c>
      <c r="C40" s="24">
        <v>16.6</v>
      </c>
      <c r="D40" s="25">
        <v>9.9</v>
      </c>
      <c r="E40" s="25">
        <v>0.6</v>
      </c>
      <c r="F40" s="19">
        <v>31</v>
      </c>
      <c r="G40" s="25">
        <v>8</v>
      </c>
      <c r="H40" s="25">
        <v>5.4</v>
      </c>
      <c r="I40" s="19">
        <f t="shared" si="9"/>
        <v>67.5</v>
      </c>
      <c r="J40" s="25">
        <f t="shared" si="10"/>
        <v>17.9</v>
      </c>
      <c r="K40" s="25">
        <f t="shared" si="10"/>
        <v>6</v>
      </c>
      <c r="L40" s="19">
        <f t="shared" si="11"/>
        <v>33.519553072625705</v>
      </c>
      <c r="M40" s="19">
        <f t="shared" si="3"/>
        <v>11.899999999999999</v>
      </c>
      <c r="N40" s="26">
        <f t="shared" si="12"/>
        <v>28.5</v>
      </c>
    </row>
    <row r="41" spans="1:14" s="67" customFormat="1" ht="36.75" customHeight="1">
      <c r="A41" s="22">
        <v>32</v>
      </c>
      <c r="B41" s="23" t="s">
        <v>74</v>
      </c>
      <c r="C41" s="24">
        <v>-47.7</v>
      </c>
      <c r="D41" s="25">
        <v>619.7</v>
      </c>
      <c r="E41" s="25">
        <v>14.7</v>
      </c>
      <c r="F41" s="19">
        <f t="shared" si="8"/>
        <v>2.3721155397773113</v>
      </c>
      <c r="G41" s="102">
        <v>489.2</v>
      </c>
      <c r="H41" s="102">
        <v>524.6</v>
      </c>
      <c r="I41" s="117">
        <f t="shared" si="9"/>
        <v>107.2363041700736</v>
      </c>
      <c r="J41" s="25">
        <f t="shared" si="10"/>
        <v>1108.9</v>
      </c>
      <c r="K41" s="25">
        <f t="shared" si="10"/>
        <v>539.3000000000001</v>
      </c>
      <c r="L41" s="117">
        <f t="shared" si="11"/>
        <v>48.633781224637026</v>
      </c>
      <c r="M41" s="19">
        <f t="shared" si="3"/>
        <v>569.6</v>
      </c>
      <c r="N41" s="26">
        <f t="shared" si="12"/>
        <v>521.9</v>
      </c>
    </row>
    <row r="42" spans="1:14" s="67" customFormat="1" ht="25.5" customHeight="1">
      <c r="A42" s="22">
        <v>33</v>
      </c>
      <c r="B42" s="28" t="s">
        <v>75</v>
      </c>
      <c r="C42" s="24">
        <v>-248</v>
      </c>
      <c r="D42" s="25">
        <v>1003.7</v>
      </c>
      <c r="E42" s="25">
        <v>14</v>
      </c>
      <c r="F42" s="19">
        <v>1.8</v>
      </c>
      <c r="G42" s="25">
        <v>1004.5</v>
      </c>
      <c r="H42" s="25">
        <v>247.1</v>
      </c>
      <c r="I42" s="19">
        <f t="shared" si="9"/>
        <v>24.5993031358885</v>
      </c>
      <c r="J42" s="25">
        <f t="shared" si="10"/>
        <v>2008.2</v>
      </c>
      <c r="K42" s="25">
        <f t="shared" si="10"/>
        <v>261.1</v>
      </c>
      <c r="L42" s="19">
        <f t="shared" si="11"/>
        <v>13.001693058460315</v>
      </c>
      <c r="M42" s="19">
        <f t="shared" si="3"/>
        <v>1747.1</v>
      </c>
      <c r="N42" s="26">
        <f t="shared" si="12"/>
        <v>1499.1</v>
      </c>
    </row>
    <row r="43" spans="1:14" s="21" customFormat="1" ht="24.75" customHeight="1">
      <c r="A43" s="47">
        <v>34</v>
      </c>
      <c r="B43" s="48" t="s">
        <v>76</v>
      </c>
      <c r="C43" s="49">
        <f>C44+C45</f>
        <v>15431.2</v>
      </c>
      <c r="D43" s="26">
        <f>D44+D45</f>
        <v>83705.4</v>
      </c>
      <c r="E43" s="26">
        <f>E44+E45</f>
        <v>5798</v>
      </c>
      <c r="F43" s="19">
        <f t="shared" si="8"/>
        <v>6.926673786876355</v>
      </c>
      <c r="G43" s="26">
        <f>G44+G45</f>
        <v>78248.2</v>
      </c>
      <c r="H43" s="26">
        <f>H44+H45</f>
        <v>31275</v>
      </c>
      <c r="I43" s="19">
        <f>H43/G43*100</f>
        <v>39.9689705322295</v>
      </c>
      <c r="J43" s="26">
        <f>J44+J45</f>
        <v>161953.6</v>
      </c>
      <c r="K43" s="26">
        <f>K44+K45</f>
        <v>37073</v>
      </c>
      <c r="L43" s="19">
        <f t="shared" si="11"/>
        <v>22.8911243714249</v>
      </c>
      <c r="M43" s="50">
        <f>M44+M45</f>
        <v>124880.6</v>
      </c>
      <c r="N43" s="50">
        <f>N44+N45</f>
        <v>140311.8</v>
      </c>
    </row>
    <row r="44" spans="1:14" s="72" customFormat="1" ht="24.75" customHeight="1">
      <c r="A44" s="47"/>
      <c r="B44" s="23" t="s">
        <v>99</v>
      </c>
      <c r="C44" s="24">
        <v>17049</v>
      </c>
      <c r="D44" s="25">
        <v>81879</v>
      </c>
      <c r="E44" s="25">
        <v>5798</v>
      </c>
      <c r="F44" s="19">
        <f t="shared" si="8"/>
        <v>7.081180766741167</v>
      </c>
      <c r="G44" s="25">
        <v>76700</v>
      </c>
      <c r="H44" s="25">
        <v>31275</v>
      </c>
      <c r="I44" s="19">
        <f t="shared" si="9"/>
        <v>40.77574967405476</v>
      </c>
      <c r="J44" s="25">
        <f>D44+G44</f>
        <v>158579</v>
      </c>
      <c r="K44" s="25">
        <f>E44+H44</f>
        <v>37073</v>
      </c>
      <c r="L44" s="19">
        <f t="shared" si="11"/>
        <v>23.37825311043707</v>
      </c>
      <c r="M44" s="19">
        <f t="shared" si="3"/>
        <v>121506</v>
      </c>
      <c r="N44" s="26">
        <f>C44+J44-K44</f>
        <v>138555</v>
      </c>
    </row>
    <row r="45" spans="1:14" s="21" customFormat="1" ht="24.75" customHeight="1">
      <c r="A45" s="47"/>
      <c r="B45" s="23" t="s">
        <v>69</v>
      </c>
      <c r="C45" s="24">
        <v>-1617.8</v>
      </c>
      <c r="D45" s="25">
        <v>1826.4</v>
      </c>
      <c r="E45" s="25">
        <v>0</v>
      </c>
      <c r="F45" s="19">
        <f t="shared" si="8"/>
        <v>0</v>
      </c>
      <c r="G45" s="36">
        <v>1548.2</v>
      </c>
      <c r="H45" s="30"/>
      <c r="I45" s="19">
        <f t="shared" si="9"/>
        <v>0</v>
      </c>
      <c r="J45" s="25">
        <f>D45+G45</f>
        <v>3374.6000000000004</v>
      </c>
      <c r="K45" s="25">
        <f>E45+H45</f>
        <v>0</v>
      </c>
      <c r="L45" s="19">
        <f t="shared" si="11"/>
        <v>0</v>
      </c>
      <c r="M45" s="19">
        <f>J45-K45</f>
        <v>3374.6000000000004</v>
      </c>
      <c r="N45" s="26">
        <f>C45+J45-K45</f>
        <v>1756.8000000000004</v>
      </c>
    </row>
    <row r="46" spans="1:14" s="21" customFormat="1" ht="24.75" customHeight="1">
      <c r="A46" s="47"/>
      <c r="B46" s="48" t="s">
        <v>78</v>
      </c>
      <c r="C46" s="49">
        <f>C7+C43</f>
        <v>19928.4</v>
      </c>
      <c r="D46" s="26">
        <f>D7+D43</f>
        <v>94410.79999999999</v>
      </c>
      <c r="E46" s="26">
        <f>E7+E43</f>
        <v>6294</v>
      </c>
      <c r="F46" s="19">
        <f>E46/D46*100</f>
        <v>6.666610175954446</v>
      </c>
      <c r="G46" s="26">
        <f>G7+G43</f>
        <v>87275.79999999999</v>
      </c>
      <c r="H46" s="26">
        <f>H7+H43</f>
        <v>35198.5</v>
      </c>
      <c r="I46" s="19">
        <f>H46/G46*100</f>
        <v>40.330194624397606</v>
      </c>
      <c r="J46" s="26">
        <f>J7+J43</f>
        <v>181686.6</v>
      </c>
      <c r="K46" s="26">
        <f>K7+K43</f>
        <v>41492.5</v>
      </c>
      <c r="L46" s="19">
        <f>K46/J46*100</f>
        <v>22.837402428137242</v>
      </c>
      <c r="M46" s="50">
        <f>M7+M43</f>
        <v>140194.1</v>
      </c>
      <c r="N46" s="50">
        <f>N7+N43</f>
        <v>160122.5</v>
      </c>
    </row>
    <row r="47" spans="1:14" ht="17.25" customHeight="1">
      <c r="A47" s="193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</row>
    <row r="48" spans="1:14" ht="4.5" customHeight="1">
      <c r="A48" s="195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</row>
    <row r="49" spans="1:14" ht="18.75" customHeight="1" hidden="1">
      <c r="A49" s="22"/>
      <c r="B49" s="21" t="s">
        <v>82</v>
      </c>
      <c r="C49" s="73"/>
      <c r="D49" s="74"/>
      <c r="E49" s="75"/>
      <c r="F49" s="216"/>
      <c r="G49" s="55"/>
      <c r="H49" s="55"/>
      <c r="I49" s="55"/>
      <c r="J49" s="55"/>
      <c r="K49" s="55"/>
      <c r="L49" s="55"/>
      <c r="M49" s="55"/>
      <c r="N49" s="57"/>
    </row>
    <row r="50" spans="2:14" ht="7.5" customHeight="1" hidden="1">
      <c r="B50" s="21"/>
      <c r="C50" s="73"/>
      <c r="D50" s="73"/>
      <c r="E50" s="73"/>
      <c r="F50" s="216"/>
      <c r="G50" s="55"/>
      <c r="H50" s="55"/>
      <c r="I50" s="55"/>
      <c r="J50" s="55"/>
      <c r="K50" s="55"/>
      <c r="L50" s="55"/>
      <c r="M50" s="55"/>
      <c r="N50" s="57"/>
    </row>
    <row r="51" spans="1:14" ht="18.75" customHeight="1" hidden="1">
      <c r="A51" s="22"/>
      <c r="B51" s="21" t="s">
        <v>83</v>
      </c>
      <c r="C51" s="73"/>
      <c r="D51" s="75"/>
      <c r="E51" s="73"/>
      <c r="F51" s="216"/>
      <c r="G51" s="56"/>
      <c r="H51" s="56"/>
      <c r="I51" s="59"/>
      <c r="J51" s="58"/>
      <c r="K51" s="58"/>
      <c r="L51" s="59"/>
      <c r="M51" s="56"/>
      <c r="N51" s="61" t="s">
        <v>98</v>
      </c>
    </row>
    <row r="52" spans="1:14" ht="24.75" customHeight="1">
      <c r="A52" s="76"/>
      <c r="B52" s="197"/>
      <c r="C52" s="197"/>
      <c r="G52" s="56"/>
      <c r="H52" s="56"/>
      <c r="I52" s="59"/>
      <c r="J52" s="56"/>
      <c r="K52" s="56"/>
      <c r="L52" s="59"/>
      <c r="M52" s="56"/>
      <c r="N52" s="56"/>
    </row>
    <row r="53" spans="1:14" s="5" customFormat="1" ht="52.5" customHeight="1">
      <c r="A53" s="1"/>
      <c r="B53" s="185" t="s">
        <v>102</v>
      </c>
      <c r="C53" s="185"/>
      <c r="D53" s="185"/>
      <c r="E53" s="2"/>
      <c r="F53" s="212"/>
      <c r="G53" s="3"/>
      <c r="H53" s="3"/>
      <c r="I53" s="212"/>
      <c r="J53" s="2"/>
      <c r="K53" s="2"/>
      <c r="L53" s="212"/>
      <c r="M53" s="3"/>
      <c r="N53" s="4" t="s">
        <v>101</v>
      </c>
    </row>
    <row r="54" spans="1:14" ht="49.5" customHeight="1" hidden="1">
      <c r="A54" s="76"/>
      <c r="B54" s="196" t="s">
        <v>37</v>
      </c>
      <c r="C54" s="196"/>
      <c r="D54" s="21"/>
      <c r="E54" s="21"/>
      <c r="G54" s="65"/>
      <c r="H54" s="65"/>
      <c r="I54" s="213"/>
      <c r="J54" s="65"/>
      <c r="K54" s="65"/>
      <c r="L54" s="213"/>
      <c r="M54" s="65"/>
      <c r="N54" s="65"/>
    </row>
    <row r="55" spans="1:19" ht="73.5" customHeight="1" hidden="1">
      <c r="A55" s="186" t="s">
        <v>100</v>
      </c>
      <c r="B55" s="186"/>
      <c r="C55" s="186"/>
      <c r="D55" s="58"/>
      <c r="E55" s="58"/>
      <c r="F55" s="59"/>
      <c r="G55" s="25">
        <v>142.7</v>
      </c>
      <c r="H55" s="25">
        <v>103.3</v>
      </c>
      <c r="I55" s="19"/>
      <c r="J55" s="25">
        <v>1154.2</v>
      </c>
      <c r="K55" s="25">
        <v>1213.3</v>
      </c>
      <c r="L55" s="19"/>
      <c r="M55" s="25"/>
      <c r="N55" s="26">
        <f>C55+D55-E55</f>
        <v>0</v>
      </c>
      <c r="O55" s="56"/>
      <c r="P55" s="56"/>
      <c r="Q55" s="56"/>
      <c r="R55" s="59"/>
      <c r="S55" s="61" t="s">
        <v>98</v>
      </c>
    </row>
    <row r="56" spans="2:14" ht="18.75">
      <c r="B56" s="8" t="s">
        <v>40</v>
      </c>
      <c r="C56" s="62">
        <v>91.5</v>
      </c>
      <c r="D56" s="56"/>
      <c r="E56" s="56"/>
      <c r="F56" s="59"/>
      <c r="G56" s="65"/>
      <c r="H56" s="65"/>
      <c r="I56" s="213"/>
      <c r="J56" s="65">
        <v>1415.7</v>
      </c>
      <c r="K56" s="65">
        <v>1436.1</v>
      </c>
      <c r="L56" s="213"/>
      <c r="M56" s="65"/>
      <c r="N56" s="26">
        <f>C56+D56-E56</f>
        <v>91.5</v>
      </c>
    </row>
    <row r="57" spans="3:14" ht="18.75">
      <c r="C57" s="62"/>
      <c r="D57" s="56"/>
      <c r="E57" s="56"/>
      <c r="F57" s="59"/>
      <c r="G57" s="65"/>
      <c r="H57" s="65"/>
      <c r="I57" s="213"/>
      <c r="J57" s="65"/>
      <c r="K57" s="65"/>
      <c r="L57" s="213"/>
      <c r="M57" s="65"/>
      <c r="N57" s="65"/>
    </row>
    <row r="58" spans="3:14" ht="18.75">
      <c r="C58" s="62"/>
      <c r="D58" s="56"/>
      <c r="E58" s="56"/>
      <c r="F58" s="59"/>
      <c r="G58" s="65"/>
      <c r="H58" s="65"/>
      <c r="I58" s="213"/>
      <c r="J58" s="65"/>
      <c r="K58" s="65"/>
      <c r="L58" s="213"/>
      <c r="M58" s="65"/>
      <c r="N58" s="65"/>
    </row>
    <row r="59" spans="2:14" ht="18.75">
      <c r="B59" s="8" t="s">
        <v>41</v>
      </c>
      <c r="C59" s="62">
        <f>C9+C17+C20+C26+C36+C38+C40</f>
        <v>1137.8999999999999</v>
      </c>
      <c r="D59" s="56"/>
      <c r="E59" s="56"/>
      <c r="F59" s="59"/>
      <c r="G59" s="65"/>
      <c r="H59" s="65"/>
      <c r="I59" s="213"/>
      <c r="J59" s="65"/>
      <c r="K59" s="65"/>
      <c r="L59" s="213"/>
      <c r="M59" s="65"/>
      <c r="N59" s="65">
        <f>N9+N17+N20+N26+N36+N38+N40</f>
        <v>3636.9</v>
      </c>
    </row>
    <row r="60" spans="2:14" ht="18.75">
      <c r="B60" s="8" t="s">
        <v>42</v>
      </c>
      <c r="C60" s="62">
        <f>C11+C13+C14+C16+C18+C19+C25</f>
        <v>167.69999999999996</v>
      </c>
      <c r="D60" s="56"/>
      <c r="E60" s="56"/>
      <c r="F60" s="59"/>
      <c r="G60" s="65"/>
      <c r="H60" s="65"/>
      <c r="I60" s="213"/>
      <c r="J60" s="65"/>
      <c r="K60" s="65"/>
      <c r="L60" s="213"/>
      <c r="M60" s="65"/>
      <c r="N60" s="65">
        <f>N11+N13+N14+N16+N18+N19+N25</f>
        <v>1428</v>
      </c>
    </row>
    <row r="61" spans="3:14" ht="18.75">
      <c r="C61" s="62"/>
      <c r="D61" s="56"/>
      <c r="E61" s="56"/>
      <c r="F61" s="59"/>
      <c r="G61" s="65"/>
      <c r="H61" s="65"/>
      <c r="I61" s="213"/>
      <c r="J61" s="65"/>
      <c r="K61" s="65"/>
      <c r="L61" s="213"/>
      <c r="M61" s="65"/>
      <c r="N61" s="65"/>
    </row>
    <row r="62" spans="7:14" ht="18.75">
      <c r="G62" s="65"/>
      <c r="H62" s="65"/>
      <c r="I62" s="213"/>
      <c r="J62" s="65"/>
      <c r="K62" s="65"/>
      <c r="L62" s="213"/>
      <c r="M62" s="65"/>
      <c r="N62" s="65"/>
    </row>
    <row r="63" spans="7:14" ht="18.75">
      <c r="G63" s="65"/>
      <c r="H63" s="65"/>
      <c r="I63" s="213"/>
      <c r="J63" s="65"/>
      <c r="K63" s="65"/>
      <c r="L63" s="213"/>
      <c r="M63" s="65"/>
      <c r="N63" s="65"/>
    </row>
    <row r="64" spans="7:14" ht="18.75">
      <c r="G64" s="65"/>
      <c r="H64" s="65"/>
      <c r="I64" s="213"/>
      <c r="J64" s="65"/>
      <c r="K64" s="65"/>
      <c r="L64" s="213"/>
      <c r="M64" s="65"/>
      <c r="N64" s="65"/>
    </row>
    <row r="65" spans="7:14" ht="18.75">
      <c r="G65" s="65"/>
      <c r="H65" s="65"/>
      <c r="I65" s="213"/>
      <c r="J65" s="65"/>
      <c r="K65" s="65"/>
      <c r="L65" s="213"/>
      <c r="M65" s="65"/>
      <c r="N65" s="65"/>
    </row>
    <row r="66" spans="7:14" ht="18.75">
      <c r="G66" s="65"/>
      <c r="H66" s="65"/>
      <c r="I66" s="213"/>
      <c r="J66" s="65"/>
      <c r="K66" s="65"/>
      <c r="L66" s="213"/>
      <c r="M66" s="65"/>
      <c r="N66" s="65"/>
    </row>
    <row r="67" spans="7:14" ht="18.75">
      <c r="G67" s="65"/>
      <c r="H67" s="65"/>
      <c r="I67" s="213"/>
      <c r="J67" s="65"/>
      <c r="K67" s="65"/>
      <c r="L67" s="213"/>
      <c r="M67" s="65"/>
      <c r="N67" s="65"/>
    </row>
    <row r="68" spans="7:14" ht="18.75">
      <c r="G68" s="65"/>
      <c r="H68" s="65"/>
      <c r="I68" s="213"/>
      <c r="J68" s="65"/>
      <c r="K68" s="65"/>
      <c r="L68" s="213"/>
      <c r="M68" s="65"/>
      <c r="N68" s="65"/>
    </row>
    <row r="69" spans="7:14" ht="18.75">
      <c r="G69" s="65"/>
      <c r="H69" s="65"/>
      <c r="I69" s="213"/>
      <c r="J69" s="65"/>
      <c r="K69" s="65"/>
      <c r="L69" s="213"/>
      <c r="M69" s="65"/>
      <c r="N69" s="65"/>
    </row>
    <row r="70" spans="7:14" ht="18.75">
      <c r="G70" s="65"/>
      <c r="H70" s="65"/>
      <c r="I70" s="213"/>
      <c r="J70" s="65"/>
      <c r="K70" s="65"/>
      <c r="L70" s="213"/>
      <c r="M70" s="65"/>
      <c r="N70" s="65"/>
    </row>
    <row r="71" spans="7:14" ht="18.75">
      <c r="G71" s="65"/>
      <c r="H71" s="65"/>
      <c r="I71" s="213"/>
      <c r="J71" s="65"/>
      <c r="K71" s="65"/>
      <c r="L71" s="213"/>
      <c r="M71" s="65"/>
      <c r="N71" s="65"/>
    </row>
    <row r="72" spans="7:14" ht="18.75">
      <c r="G72" s="65"/>
      <c r="H72" s="65"/>
      <c r="I72" s="213"/>
      <c r="J72" s="65"/>
      <c r="K72" s="65"/>
      <c r="L72" s="213"/>
      <c r="M72" s="65"/>
      <c r="N72" s="65"/>
    </row>
    <row r="73" spans="7:14" ht="18.75">
      <c r="G73" s="65"/>
      <c r="H73" s="65"/>
      <c r="I73" s="213"/>
      <c r="J73" s="65"/>
      <c r="K73" s="65"/>
      <c r="L73" s="213"/>
      <c r="M73" s="65"/>
      <c r="N73" s="65"/>
    </row>
    <row r="74" spans="7:14" ht="18.75">
      <c r="G74" s="65"/>
      <c r="H74" s="65"/>
      <c r="I74" s="213"/>
      <c r="J74" s="65"/>
      <c r="K74" s="65"/>
      <c r="L74" s="213"/>
      <c r="M74" s="65"/>
      <c r="N74" s="65"/>
    </row>
    <row r="75" spans="7:14" ht="18.75">
      <c r="G75" s="65"/>
      <c r="H75" s="65"/>
      <c r="I75" s="213"/>
      <c r="J75" s="65"/>
      <c r="K75" s="65"/>
      <c r="L75" s="213"/>
      <c r="M75" s="65"/>
      <c r="N75" s="65"/>
    </row>
    <row r="76" spans="7:14" ht="18.75">
      <c r="G76" s="65"/>
      <c r="H76" s="65"/>
      <c r="I76" s="213"/>
      <c r="J76" s="65"/>
      <c r="K76" s="65"/>
      <c r="L76" s="213"/>
      <c r="M76" s="65"/>
      <c r="N76" s="65"/>
    </row>
    <row r="77" spans="7:14" ht="18.75">
      <c r="G77" s="65"/>
      <c r="H77" s="65"/>
      <c r="I77" s="213"/>
      <c r="J77" s="65"/>
      <c r="K77" s="65"/>
      <c r="L77" s="213"/>
      <c r="M77" s="65"/>
      <c r="N77" s="65"/>
    </row>
    <row r="78" spans="7:14" ht="18.75">
      <c r="G78" s="65"/>
      <c r="H78" s="65"/>
      <c r="I78" s="213"/>
      <c r="J78" s="65"/>
      <c r="K78" s="65"/>
      <c r="L78" s="213"/>
      <c r="M78" s="65"/>
      <c r="N78" s="65"/>
    </row>
    <row r="79" spans="7:14" ht="18.75">
      <c r="G79" s="65"/>
      <c r="H79" s="65"/>
      <c r="I79" s="213"/>
      <c r="J79" s="65"/>
      <c r="K79" s="65"/>
      <c r="L79" s="213"/>
      <c r="M79" s="65"/>
      <c r="N79" s="65"/>
    </row>
    <row r="80" spans="7:14" ht="18.75">
      <c r="G80" s="65"/>
      <c r="H80" s="65"/>
      <c r="I80" s="213"/>
      <c r="J80" s="65"/>
      <c r="K80" s="65"/>
      <c r="L80" s="213"/>
      <c r="M80" s="65"/>
      <c r="N80" s="65"/>
    </row>
    <row r="81" spans="7:14" ht="18.75">
      <c r="G81" s="65"/>
      <c r="H81" s="65"/>
      <c r="I81" s="213"/>
      <c r="J81" s="65"/>
      <c r="K81" s="65"/>
      <c r="L81" s="213"/>
      <c r="M81" s="65"/>
      <c r="N81" s="65"/>
    </row>
    <row r="82" spans="7:14" ht="18.75">
      <c r="G82" s="65"/>
      <c r="H82" s="65"/>
      <c r="I82" s="213"/>
      <c r="J82" s="65"/>
      <c r="K82" s="65"/>
      <c r="L82" s="213"/>
      <c r="M82" s="65"/>
      <c r="N82" s="65"/>
    </row>
    <row r="83" spans="7:14" ht="18.75">
      <c r="G83" s="65"/>
      <c r="H83" s="65"/>
      <c r="I83" s="213"/>
      <c r="J83" s="65"/>
      <c r="K83" s="65"/>
      <c r="L83" s="213"/>
      <c r="M83" s="65"/>
      <c r="N83" s="65"/>
    </row>
    <row r="84" spans="7:14" ht="18.75">
      <c r="G84" s="65"/>
      <c r="H84" s="65"/>
      <c r="I84" s="213"/>
      <c r="J84" s="65"/>
      <c r="K84" s="65"/>
      <c r="L84" s="213"/>
      <c r="M84" s="65"/>
      <c r="N84" s="65"/>
    </row>
    <row r="85" spans="7:14" ht="18.75">
      <c r="G85" s="65"/>
      <c r="H85" s="65"/>
      <c r="I85" s="213"/>
      <c r="J85" s="65"/>
      <c r="K85" s="65"/>
      <c r="L85" s="213"/>
      <c r="M85" s="65"/>
      <c r="N85" s="65"/>
    </row>
    <row r="86" spans="7:14" ht="18.75">
      <c r="G86" s="65"/>
      <c r="H86" s="65"/>
      <c r="I86" s="213"/>
      <c r="J86" s="65"/>
      <c r="K86" s="65"/>
      <c r="L86" s="213"/>
      <c r="M86" s="65"/>
      <c r="N86" s="65"/>
    </row>
    <row r="87" spans="7:14" ht="18.75">
      <c r="G87" s="65"/>
      <c r="H87" s="65"/>
      <c r="I87" s="213"/>
      <c r="J87" s="65"/>
      <c r="K87" s="65"/>
      <c r="L87" s="213"/>
      <c r="M87" s="65"/>
      <c r="N87" s="65"/>
    </row>
    <row r="88" spans="7:14" ht="18.75">
      <c r="G88" s="65"/>
      <c r="H88" s="65"/>
      <c r="I88" s="213"/>
      <c r="J88" s="65"/>
      <c r="K88" s="65"/>
      <c r="L88" s="213"/>
      <c r="M88" s="65"/>
      <c r="N88" s="65"/>
    </row>
    <row r="89" spans="7:14" ht="18.75">
      <c r="G89" s="65"/>
      <c r="H89" s="65"/>
      <c r="I89" s="213"/>
      <c r="J89" s="65"/>
      <c r="K89" s="65"/>
      <c r="L89" s="213"/>
      <c r="M89" s="65"/>
      <c r="N89" s="65"/>
    </row>
    <row r="90" spans="7:14" ht="18.75">
      <c r="G90" s="65"/>
      <c r="H90" s="65"/>
      <c r="I90" s="213"/>
      <c r="J90" s="65"/>
      <c r="K90" s="65"/>
      <c r="L90" s="213"/>
      <c r="M90" s="65"/>
      <c r="N90" s="65"/>
    </row>
    <row r="91" spans="7:14" ht="18.75">
      <c r="G91" s="65"/>
      <c r="H91" s="65"/>
      <c r="I91" s="213"/>
      <c r="J91" s="65"/>
      <c r="K91" s="65"/>
      <c r="L91" s="213"/>
      <c r="M91" s="65"/>
      <c r="N91" s="65"/>
    </row>
    <row r="92" spans="7:14" ht="18.75">
      <c r="G92" s="65"/>
      <c r="H92" s="65"/>
      <c r="I92" s="213"/>
      <c r="J92" s="65"/>
      <c r="K92" s="65"/>
      <c r="L92" s="213"/>
      <c r="M92" s="65"/>
      <c r="N92" s="65"/>
    </row>
    <row r="93" spans="7:14" ht="18.75">
      <c r="G93" s="65"/>
      <c r="H93" s="65"/>
      <c r="I93" s="213"/>
      <c r="J93" s="65"/>
      <c r="K93" s="65"/>
      <c r="L93" s="213"/>
      <c r="M93" s="65"/>
      <c r="N93" s="65"/>
    </row>
    <row r="94" spans="7:14" ht="18.75">
      <c r="G94" s="65"/>
      <c r="H94" s="65"/>
      <c r="I94" s="213"/>
      <c r="J94" s="65"/>
      <c r="K94" s="65"/>
      <c r="L94" s="213"/>
      <c r="M94" s="65"/>
      <c r="N94" s="65"/>
    </row>
    <row r="95" spans="7:14" ht="18.75">
      <c r="G95" s="65"/>
      <c r="H95" s="65"/>
      <c r="I95" s="213"/>
      <c r="J95" s="65"/>
      <c r="K95" s="65"/>
      <c r="L95" s="213"/>
      <c r="M95" s="65"/>
      <c r="N95" s="65"/>
    </row>
    <row r="96" spans="7:14" ht="18.75">
      <c r="G96" s="65"/>
      <c r="H96" s="65"/>
      <c r="I96" s="213"/>
      <c r="J96" s="65"/>
      <c r="K96" s="65"/>
      <c r="L96" s="213"/>
      <c r="M96" s="65"/>
      <c r="N96" s="65"/>
    </row>
    <row r="97" spans="7:14" ht="18.75">
      <c r="G97" s="65"/>
      <c r="H97" s="65"/>
      <c r="I97" s="213"/>
      <c r="J97" s="65"/>
      <c r="K97" s="65"/>
      <c r="L97" s="213"/>
      <c r="M97" s="65"/>
      <c r="N97" s="65"/>
    </row>
    <row r="98" spans="7:14" ht="18.75">
      <c r="G98" s="65"/>
      <c r="H98" s="65"/>
      <c r="I98" s="213"/>
      <c r="J98" s="65"/>
      <c r="K98" s="65"/>
      <c r="L98" s="213"/>
      <c r="M98" s="65"/>
      <c r="N98" s="65"/>
    </row>
    <row r="99" spans="7:14" ht="18.75">
      <c r="G99" s="65"/>
      <c r="H99" s="65"/>
      <c r="I99" s="213"/>
      <c r="J99" s="65"/>
      <c r="K99" s="65"/>
      <c r="L99" s="213"/>
      <c r="M99" s="65"/>
      <c r="N99" s="65"/>
    </row>
    <row r="100" spans="7:14" ht="18.75">
      <c r="G100" s="65"/>
      <c r="H100" s="65"/>
      <c r="I100" s="213"/>
      <c r="J100" s="65"/>
      <c r="K100" s="65"/>
      <c r="L100" s="213"/>
      <c r="M100" s="65"/>
      <c r="N100" s="65"/>
    </row>
    <row r="101" spans="7:14" ht="18.75">
      <c r="G101" s="65"/>
      <c r="H101" s="65"/>
      <c r="I101" s="213"/>
      <c r="J101" s="65"/>
      <c r="K101" s="65"/>
      <c r="L101" s="213"/>
      <c r="M101" s="65"/>
      <c r="N101" s="65"/>
    </row>
    <row r="102" spans="7:14" ht="18.75">
      <c r="G102" s="65"/>
      <c r="H102" s="65"/>
      <c r="I102" s="213"/>
      <c r="J102" s="65"/>
      <c r="K102" s="65"/>
      <c r="L102" s="213"/>
      <c r="M102" s="65"/>
      <c r="N102" s="65"/>
    </row>
  </sheetData>
  <sheetProtection/>
  <mergeCells count="16">
    <mergeCell ref="D1:N1"/>
    <mergeCell ref="B2:N2"/>
    <mergeCell ref="B4:C4"/>
    <mergeCell ref="A55:C55"/>
    <mergeCell ref="B3:N3"/>
    <mergeCell ref="A47:N48"/>
    <mergeCell ref="B54:C54"/>
    <mergeCell ref="B53:D53"/>
    <mergeCell ref="B52:C52"/>
    <mergeCell ref="D5:F5"/>
    <mergeCell ref="G5:I5"/>
    <mergeCell ref="J5:L5"/>
    <mergeCell ref="N5:N6"/>
    <mergeCell ref="M5:M6"/>
    <mergeCell ref="M29:M31"/>
    <mergeCell ref="C23:L23"/>
  </mergeCells>
  <printOptions horizontalCentered="1"/>
  <pageMargins left="0" right="0" top="0" bottom="0" header="0" footer="0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102"/>
  <sheetViews>
    <sheetView view="pageBreakPreview" zoomScale="70" zoomScaleNormal="75" zoomScaleSheetLayoutView="70" zoomScalePageLayoutView="0" workbookViewId="0" topLeftCell="A1">
      <pane xSplit="6" ySplit="8" topLeftCell="G4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L4" activeCellId="2" sqref="F1:F16384 I1:I16384 L1:L16384"/>
    </sheetView>
  </sheetViews>
  <sheetFormatPr defaultColWidth="7.875" defaultRowHeight="12.75"/>
  <cols>
    <col min="1" max="1" width="6.625" style="7" customWidth="1"/>
    <col min="2" max="2" width="56.75390625" style="8" customWidth="1"/>
    <col min="3" max="3" width="16.875" style="9" customWidth="1"/>
    <col min="4" max="4" width="19.875" style="8" customWidth="1"/>
    <col min="5" max="5" width="19.75390625" style="8" customWidth="1"/>
    <col min="6" max="6" width="13.75390625" style="21" customWidth="1"/>
    <col min="7" max="8" width="14.75390625" style="8" customWidth="1"/>
    <col min="9" max="9" width="11.875" style="21" customWidth="1"/>
    <col min="10" max="10" width="18.75390625" style="8" customWidth="1"/>
    <col min="11" max="11" width="19.875" style="8" customWidth="1"/>
    <col min="12" max="12" width="13.75390625" style="21" customWidth="1"/>
    <col min="13" max="13" width="19.75390625" style="8" customWidth="1"/>
    <col min="14" max="14" width="22.625" style="8" customWidth="1"/>
    <col min="15" max="16384" width="7.875" style="8" customWidth="1"/>
  </cols>
  <sheetData>
    <row r="1" spans="4:14" ht="18.75"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2:14" ht="18.75">
      <c r="B2" s="188" t="s">
        <v>85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2:14" ht="43.5" customHeight="1">
      <c r="B3" s="169" t="s">
        <v>112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2:14" ht="18.75">
      <c r="B4" s="77"/>
      <c r="C4" s="77"/>
      <c r="N4" s="10" t="s">
        <v>48</v>
      </c>
    </row>
    <row r="5" spans="1:14" ht="36.75" customHeight="1">
      <c r="A5" s="11" t="s">
        <v>36</v>
      </c>
      <c r="B5" s="12"/>
      <c r="C5" s="131" t="s">
        <v>1</v>
      </c>
      <c r="D5" s="171" t="s">
        <v>114</v>
      </c>
      <c r="E5" s="172"/>
      <c r="F5" s="173"/>
      <c r="G5" s="182" t="s">
        <v>116</v>
      </c>
      <c r="H5" s="183"/>
      <c r="I5" s="184"/>
      <c r="J5" s="171" t="s">
        <v>117</v>
      </c>
      <c r="K5" s="172"/>
      <c r="L5" s="173"/>
      <c r="M5" s="167" t="s">
        <v>118</v>
      </c>
      <c r="N5" s="167" t="s">
        <v>113</v>
      </c>
    </row>
    <row r="6" spans="1:14" ht="55.5" customHeight="1">
      <c r="A6" s="14" t="s">
        <v>9</v>
      </c>
      <c r="B6" s="133" t="s">
        <v>46</v>
      </c>
      <c r="C6" s="113" t="s">
        <v>107</v>
      </c>
      <c r="D6" s="13" t="s">
        <v>115</v>
      </c>
      <c r="E6" s="13" t="s">
        <v>47</v>
      </c>
      <c r="F6" s="15" t="s">
        <v>0</v>
      </c>
      <c r="G6" s="13" t="s">
        <v>115</v>
      </c>
      <c r="H6" s="13" t="s">
        <v>47</v>
      </c>
      <c r="I6" s="15" t="s">
        <v>0</v>
      </c>
      <c r="J6" s="13" t="s">
        <v>115</v>
      </c>
      <c r="K6" s="13" t="s">
        <v>47</v>
      </c>
      <c r="L6" s="15" t="s">
        <v>0</v>
      </c>
      <c r="M6" s="168"/>
      <c r="N6" s="168"/>
    </row>
    <row r="7" spans="1:14" s="21" customFormat="1" ht="36" customHeight="1">
      <c r="A7" s="15"/>
      <c r="B7" s="16" t="s">
        <v>49</v>
      </c>
      <c r="C7" s="78">
        <f>SUM(C8:C42)</f>
        <v>-5512.000000000001</v>
      </c>
      <c r="D7" s="19">
        <f>SUM(D8:D42)</f>
        <v>55625</v>
      </c>
      <c r="E7" s="19">
        <f>SUM(E8:E42)</f>
        <v>18291.199999999997</v>
      </c>
      <c r="F7" s="19">
        <f aca="true" t="shared" si="0" ref="F7:F28">E7/D7*100</f>
        <v>32.88305617977528</v>
      </c>
      <c r="G7" s="19">
        <f>SUM(G8:G42)</f>
        <v>47100.600000000006</v>
      </c>
      <c r="H7" s="19">
        <f>SUM(H8:H42)</f>
        <v>51735.2</v>
      </c>
      <c r="I7" s="19">
        <f>H7/G7*100</f>
        <v>109.83978972667012</v>
      </c>
      <c r="J7" s="19">
        <f>SUM(J8:J42)</f>
        <v>102725.6</v>
      </c>
      <c r="K7" s="19">
        <f>SUM(K8:K42)</f>
        <v>70026.4</v>
      </c>
      <c r="L7" s="19">
        <f>K7/J7*100</f>
        <v>68.16840203415701</v>
      </c>
      <c r="M7" s="20">
        <f>SUM(M8:M42)</f>
        <v>32699.2</v>
      </c>
      <c r="N7" s="20">
        <f>SUM(N8:N42)</f>
        <v>27187.200000000004</v>
      </c>
    </row>
    <row r="8" spans="1:14" ht="39" customHeight="1">
      <c r="A8" s="22">
        <v>1</v>
      </c>
      <c r="B8" s="23" t="s">
        <v>50</v>
      </c>
      <c r="C8" s="24">
        <v>-445.7</v>
      </c>
      <c r="D8" s="25">
        <v>3670.6</v>
      </c>
      <c r="E8" s="25">
        <f>311.8+1286.9</f>
        <v>1598.7</v>
      </c>
      <c r="F8" s="19">
        <f t="shared" si="0"/>
        <v>43.554187326322676</v>
      </c>
      <c r="G8" s="25">
        <f>670.1+2666.2</f>
        <v>3336.2999999999997</v>
      </c>
      <c r="H8" s="25">
        <f>487+3707.5</f>
        <v>4194.5</v>
      </c>
      <c r="I8" s="19">
        <f>H8/G8*100</f>
        <v>125.72310643527263</v>
      </c>
      <c r="J8" s="25">
        <f>D8+G8</f>
        <v>7006.9</v>
      </c>
      <c r="K8" s="25">
        <f>E8+H8</f>
        <v>5793.2</v>
      </c>
      <c r="L8" s="19">
        <f>K8/J8*100</f>
        <v>82.67850261884713</v>
      </c>
      <c r="M8" s="19">
        <f aca="true" t="shared" si="1" ref="M8:M22">J8-K8</f>
        <v>1213.6999999999998</v>
      </c>
      <c r="N8" s="26">
        <f>C8+J8-K8</f>
        <v>768</v>
      </c>
    </row>
    <row r="9" spans="1:14" ht="36.75" customHeight="1">
      <c r="A9" s="22">
        <v>2</v>
      </c>
      <c r="B9" s="27" t="s">
        <v>81</v>
      </c>
      <c r="C9" s="24">
        <v>-1037.6</v>
      </c>
      <c r="D9" s="25">
        <v>1127.1</v>
      </c>
      <c r="E9" s="25">
        <v>82.1</v>
      </c>
      <c r="F9" s="19">
        <f t="shared" si="0"/>
        <v>7.284180640582025</v>
      </c>
      <c r="G9" s="25">
        <v>916.4</v>
      </c>
      <c r="H9" s="25">
        <v>932</v>
      </c>
      <c r="I9" s="19">
        <f aca="true" t="shared" si="2" ref="I9:I22">H9/G9*100</f>
        <v>101.7023134002619</v>
      </c>
      <c r="J9" s="25">
        <f>D9+G9</f>
        <v>2043.5</v>
      </c>
      <c r="K9" s="25">
        <f>E9+H9</f>
        <v>1014.1</v>
      </c>
      <c r="L9" s="19">
        <f>K9/J9*100</f>
        <v>49.62564228040127</v>
      </c>
      <c r="M9" s="19">
        <f t="shared" si="1"/>
        <v>1029.4</v>
      </c>
      <c r="N9" s="26">
        <f aca="true" t="shared" si="3" ref="N9:N28">C9+J9-K9</f>
        <v>-8.199999999999932</v>
      </c>
    </row>
    <row r="10" spans="1:14" ht="36" customHeight="1">
      <c r="A10" s="22">
        <v>3</v>
      </c>
      <c r="B10" s="28" t="s">
        <v>97</v>
      </c>
      <c r="C10" s="24">
        <v>0</v>
      </c>
      <c r="D10" s="25">
        <v>0.7</v>
      </c>
      <c r="E10" s="25">
        <v>0.7</v>
      </c>
      <c r="F10" s="19">
        <f t="shared" si="0"/>
        <v>100</v>
      </c>
      <c r="G10" s="36">
        <v>61.1</v>
      </c>
      <c r="H10" s="36">
        <v>61.1</v>
      </c>
      <c r="I10" s="19">
        <f t="shared" si="2"/>
        <v>100</v>
      </c>
      <c r="J10" s="25">
        <f aca="true" t="shared" si="4" ref="J10:J22">D10+G10</f>
        <v>61.800000000000004</v>
      </c>
      <c r="K10" s="25">
        <f aca="true" t="shared" si="5" ref="K10:K22">E10+H10</f>
        <v>61.800000000000004</v>
      </c>
      <c r="L10" s="19">
        <f aca="true" t="shared" si="6" ref="L10:L22">K10/J10*100</f>
        <v>100</v>
      </c>
      <c r="M10" s="19">
        <f t="shared" si="1"/>
        <v>0</v>
      </c>
      <c r="N10" s="26">
        <f t="shared" si="3"/>
        <v>0</v>
      </c>
    </row>
    <row r="11" spans="1:14" ht="24" customHeight="1">
      <c r="A11" s="22">
        <v>4</v>
      </c>
      <c r="B11" s="23" t="s">
        <v>108</v>
      </c>
      <c r="C11" s="24">
        <v>-0.5</v>
      </c>
      <c r="D11" s="25">
        <f>35.7+33.6</f>
        <v>69.30000000000001</v>
      </c>
      <c r="E11" s="25">
        <v>30.1</v>
      </c>
      <c r="F11" s="19">
        <f t="shared" si="0"/>
        <v>43.43434343434343</v>
      </c>
      <c r="G11" s="25">
        <f>54.4+27.4</f>
        <v>81.8</v>
      </c>
      <c r="H11" s="25">
        <f>35.7+3.5</f>
        <v>39.2</v>
      </c>
      <c r="I11" s="19">
        <f t="shared" si="2"/>
        <v>47.92176039119805</v>
      </c>
      <c r="J11" s="25">
        <f t="shared" si="4"/>
        <v>151.10000000000002</v>
      </c>
      <c r="K11" s="25">
        <f t="shared" si="5"/>
        <v>69.30000000000001</v>
      </c>
      <c r="L11" s="19">
        <f t="shared" si="6"/>
        <v>45.86366644606221</v>
      </c>
      <c r="M11" s="19">
        <f t="shared" si="1"/>
        <v>81.80000000000001</v>
      </c>
      <c r="N11" s="26">
        <f t="shared" si="3"/>
        <v>81.30000000000001</v>
      </c>
    </row>
    <row r="12" spans="1:14" s="67" customFormat="1" ht="24" customHeight="1">
      <c r="A12" s="22">
        <v>5</v>
      </c>
      <c r="B12" s="23" t="s">
        <v>79</v>
      </c>
      <c r="C12" s="24">
        <f>79.3-724</f>
        <v>-644.7</v>
      </c>
      <c r="D12" s="25">
        <f>204.2+1318.3</f>
        <v>1522.5</v>
      </c>
      <c r="E12" s="25">
        <v>0</v>
      </c>
      <c r="F12" s="19">
        <f t="shared" si="0"/>
        <v>0</v>
      </c>
      <c r="G12" s="25">
        <f>165.4+1133.6</f>
        <v>1299</v>
      </c>
      <c r="H12" s="25">
        <f>29.5+21</f>
        <v>50.5</v>
      </c>
      <c r="I12" s="19">
        <f t="shared" si="2"/>
        <v>3.8876058506543494</v>
      </c>
      <c r="J12" s="25">
        <f t="shared" si="4"/>
        <v>2821.5</v>
      </c>
      <c r="K12" s="25">
        <f t="shared" si="5"/>
        <v>50.5</v>
      </c>
      <c r="L12" s="19">
        <f t="shared" si="6"/>
        <v>1.789828105617579</v>
      </c>
      <c r="M12" s="19">
        <f t="shared" si="1"/>
        <v>2771</v>
      </c>
      <c r="N12" s="26">
        <f t="shared" si="3"/>
        <v>2126.3</v>
      </c>
    </row>
    <row r="13" spans="1:14" s="67" customFormat="1" ht="24" customHeight="1">
      <c r="A13" s="22">
        <v>6</v>
      </c>
      <c r="B13" s="23" t="s">
        <v>51</v>
      </c>
      <c r="C13" s="24">
        <v>17.3</v>
      </c>
      <c r="D13" s="25">
        <v>866.7</v>
      </c>
      <c r="E13" s="25">
        <v>36.8</v>
      </c>
      <c r="F13" s="19">
        <f t="shared" si="0"/>
        <v>4.245990538825429</v>
      </c>
      <c r="G13" s="25">
        <v>690.5</v>
      </c>
      <c r="H13" s="25">
        <v>319.3</v>
      </c>
      <c r="I13" s="19">
        <f t="shared" si="2"/>
        <v>46.241853729181756</v>
      </c>
      <c r="J13" s="25">
        <f t="shared" si="4"/>
        <v>1557.2</v>
      </c>
      <c r="K13" s="25">
        <f t="shared" si="5"/>
        <v>356.1</v>
      </c>
      <c r="L13" s="19">
        <f t="shared" si="6"/>
        <v>22.867968147957875</v>
      </c>
      <c r="M13" s="19">
        <f t="shared" si="1"/>
        <v>1201.1</v>
      </c>
      <c r="N13" s="26">
        <f t="shared" si="3"/>
        <v>1218.4</v>
      </c>
    </row>
    <row r="14" spans="1:14" ht="24" customHeight="1">
      <c r="A14" s="22">
        <v>7</v>
      </c>
      <c r="B14" s="23" t="s">
        <v>52</v>
      </c>
      <c r="C14" s="24">
        <v>0.3</v>
      </c>
      <c r="D14" s="25">
        <v>622</v>
      </c>
      <c r="E14" s="25">
        <v>413</v>
      </c>
      <c r="F14" s="19">
        <f t="shared" si="0"/>
        <v>66.39871382636656</v>
      </c>
      <c r="G14" s="36">
        <v>702.7</v>
      </c>
      <c r="H14" s="36">
        <v>513.3</v>
      </c>
      <c r="I14" s="19">
        <f t="shared" si="2"/>
        <v>73.04681941084388</v>
      </c>
      <c r="J14" s="25">
        <f t="shared" si="4"/>
        <v>1324.7</v>
      </c>
      <c r="K14" s="25">
        <f t="shared" si="5"/>
        <v>926.3</v>
      </c>
      <c r="L14" s="19">
        <f t="shared" si="6"/>
        <v>69.92526609798443</v>
      </c>
      <c r="M14" s="19">
        <f t="shared" si="1"/>
        <v>398.4000000000001</v>
      </c>
      <c r="N14" s="26">
        <f t="shared" si="3"/>
        <v>398.70000000000005</v>
      </c>
    </row>
    <row r="15" spans="1:14" s="67" customFormat="1" ht="24" customHeight="1">
      <c r="A15" s="22">
        <v>8</v>
      </c>
      <c r="B15" s="23" t="s">
        <v>53</v>
      </c>
      <c r="C15" s="24">
        <f>-134.5+3.7</f>
        <v>-130.8</v>
      </c>
      <c r="D15" s="25">
        <f>188.5+2072.3</f>
        <v>2260.8</v>
      </c>
      <c r="E15" s="25">
        <v>426.2</v>
      </c>
      <c r="F15" s="19">
        <f t="shared" si="0"/>
        <v>18.851733899504598</v>
      </c>
      <c r="G15" s="25">
        <f>147.3+1634.9</f>
        <v>1782.2</v>
      </c>
      <c r="H15" s="25">
        <f>192.1+2129.6</f>
        <v>2321.7</v>
      </c>
      <c r="I15" s="19">
        <f t="shared" si="2"/>
        <v>130.2715744585344</v>
      </c>
      <c r="J15" s="25">
        <f t="shared" si="4"/>
        <v>4043</v>
      </c>
      <c r="K15" s="25">
        <f t="shared" si="5"/>
        <v>2747.8999999999996</v>
      </c>
      <c r="L15" s="19">
        <f t="shared" si="6"/>
        <v>67.96685629483056</v>
      </c>
      <c r="M15" s="19">
        <f t="shared" si="1"/>
        <v>1295.1000000000004</v>
      </c>
      <c r="N15" s="26">
        <f t="shared" si="3"/>
        <v>1164.3000000000002</v>
      </c>
    </row>
    <row r="16" spans="1:14" s="67" customFormat="1" ht="24" customHeight="1">
      <c r="A16" s="22">
        <v>9</v>
      </c>
      <c r="B16" s="23" t="s">
        <v>54</v>
      </c>
      <c r="C16" s="24">
        <f>-51.7+(-105.7)</f>
        <v>-157.4</v>
      </c>
      <c r="D16" s="25">
        <v>1693.9</v>
      </c>
      <c r="E16" s="25">
        <v>206.2</v>
      </c>
      <c r="F16" s="19">
        <f t="shared" si="0"/>
        <v>12.173091681917466</v>
      </c>
      <c r="G16" s="36">
        <v>1632.1</v>
      </c>
      <c r="H16" s="36">
        <v>1049.1</v>
      </c>
      <c r="I16" s="19">
        <f t="shared" si="2"/>
        <v>64.2791495619141</v>
      </c>
      <c r="J16" s="25">
        <f t="shared" si="4"/>
        <v>3326</v>
      </c>
      <c r="K16" s="25">
        <f t="shared" si="5"/>
        <v>1255.3</v>
      </c>
      <c r="L16" s="19">
        <f t="shared" si="6"/>
        <v>37.742032471437156</v>
      </c>
      <c r="M16" s="19">
        <f t="shared" si="1"/>
        <v>2070.7</v>
      </c>
      <c r="N16" s="26">
        <f t="shared" si="3"/>
        <v>1913.3</v>
      </c>
    </row>
    <row r="17" spans="1:14" ht="24" customHeight="1">
      <c r="A17" s="22">
        <v>10</v>
      </c>
      <c r="B17" s="28" t="s">
        <v>55</v>
      </c>
      <c r="C17" s="24">
        <v>17.2</v>
      </c>
      <c r="D17" s="25">
        <v>876.7</v>
      </c>
      <c r="E17" s="25">
        <v>0</v>
      </c>
      <c r="F17" s="19">
        <f t="shared" si="0"/>
        <v>0</v>
      </c>
      <c r="G17" s="25">
        <v>692.9</v>
      </c>
      <c r="H17" s="25">
        <v>1031.1</v>
      </c>
      <c r="I17" s="19">
        <f t="shared" si="2"/>
        <v>148.80935199884541</v>
      </c>
      <c r="J17" s="25">
        <f t="shared" si="4"/>
        <v>1569.6</v>
      </c>
      <c r="K17" s="25">
        <f t="shared" si="5"/>
        <v>1031.1</v>
      </c>
      <c r="L17" s="19">
        <f t="shared" si="6"/>
        <v>65.69189602446484</v>
      </c>
      <c r="M17" s="19">
        <f t="shared" si="1"/>
        <v>538.5</v>
      </c>
      <c r="N17" s="26">
        <f t="shared" si="3"/>
        <v>555.7</v>
      </c>
    </row>
    <row r="18" spans="1:14" s="104" customFormat="1" ht="24" customHeight="1">
      <c r="A18" s="105">
        <v>11</v>
      </c>
      <c r="B18" s="120" t="s">
        <v>56</v>
      </c>
      <c r="C18" s="101">
        <v>0</v>
      </c>
      <c r="D18" s="102">
        <v>509.7</v>
      </c>
      <c r="E18" s="102">
        <v>268.6</v>
      </c>
      <c r="F18" s="117">
        <f t="shared" si="0"/>
        <v>52.69766529330979</v>
      </c>
      <c r="G18" s="102">
        <v>554</v>
      </c>
      <c r="H18" s="102">
        <v>773.7</v>
      </c>
      <c r="I18" s="117">
        <f t="shared" si="2"/>
        <v>139.65703971119135</v>
      </c>
      <c r="J18" s="102">
        <f t="shared" si="4"/>
        <v>1063.7</v>
      </c>
      <c r="K18" s="102">
        <f t="shared" si="5"/>
        <v>1042.3000000000002</v>
      </c>
      <c r="L18" s="117">
        <f t="shared" si="6"/>
        <v>97.9881545548557</v>
      </c>
      <c r="M18" s="117">
        <f t="shared" si="1"/>
        <v>21.399999999999864</v>
      </c>
      <c r="N18" s="103">
        <f t="shared" si="3"/>
        <v>21.399999999999864</v>
      </c>
    </row>
    <row r="19" spans="1:14" s="104" customFormat="1" ht="24" customHeight="1">
      <c r="A19" s="105">
        <v>12</v>
      </c>
      <c r="B19" s="100" t="s">
        <v>80</v>
      </c>
      <c r="C19" s="101">
        <f>-111.4+342.8</f>
        <v>231.4</v>
      </c>
      <c r="D19" s="102">
        <f>4.4+1599.7+57.4</f>
        <v>1661.5000000000002</v>
      </c>
      <c r="E19" s="102">
        <f>32</f>
        <v>32</v>
      </c>
      <c r="F19" s="117">
        <f t="shared" si="0"/>
        <v>1.9259705085765872</v>
      </c>
      <c r="G19" s="102">
        <f>11.7+84.9+1604.2</f>
        <v>1700.8</v>
      </c>
      <c r="H19" s="102">
        <f>12+114.7+2087.9</f>
        <v>2214.6</v>
      </c>
      <c r="I19" s="117">
        <f t="shared" si="2"/>
        <v>130.2093132643462</v>
      </c>
      <c r="J19" s="102">
        <f t="shared" si="4"/>
        <v>3362.3</v>
      </c>
      <c r="K19" s="102">
        <f t="shared" si="5"/>
        <v>2246.6</v>
      </c>
      <c r="L19" s="117">
        <f t="shared" si="6"/>
        <v>66.8173571662255</v>
      </c>
      <c r="M19" s="117">
        <f t="shared" si="1"/>
        <v>1115.7000000000003</v>
      </c>
      <c r="N19" s="103">
        <f t="shared" si="3"/>
        <v>1347.1000000000004</v>
      </c>
    </row>
    <row r="20" spans="1:14" s="104" customFormat="1" ht="24" customHeight="1">
      <c r="A20" s="105">
        <v>13</v>
      </c>
      <c r="B20" s="120" t="s">
        <v>57</v>
      </c>
      <c r="C20" s="101">
        <v>-0.1</v>
      </c>
      <c r="D20" s="102"/>
      <c r="E20" s="102"/>
      <c r="F20" s="210"/>
      <c r="G20" s="140"/>
      <c r="H20" s="140"/>
      <c r="I20" s="117"/>
      <c r="J20" s="102"/>
      <c r="K20" s="102"/>
      <c r="L20" s="117"/>
      <c r="M20" s="117">
        <f t="shared" si="1"/>
        <v>0</v>
      </c>
      <c r="N20" s="103">
        <f t="shared" si="3"/>
        <v>-0.1</v>
      </c>
    </row>
    <row r="21" spans="1:14" ht="24" customHeight="1">
      <c r="A21" s="22">
        <v>14</v>
      </c>
      <c r="B21" s="28" t="s">
        <v>58</v>
      </c>
      <c r="C21" s="24">
        <v>22.4</v>
      </c>
      <c r="D21" s="25">
        <v>128.2</v>
      </c>
      <c r="E21" s="25">
        <v>102.6</v>
      </c>
      <c r="F21" s="19">
        <f t="shared" si="0"/>
        <v>80.03120124804992</v>
      </c>
      <c r="G21" s="36">
        <v>101.9</v>
      </c>
      <c r="H21" s="36">
        <v>48</v>
      </c>
      <c r="I21" s="19">
        <f t="shared" si="2"/>
        <v>47.10500490677134</v>
      </c>
      <c r="J21" s="25">
        <f t="shared" si="4"/>
        <v>230.1</v>
      </c>
      <c r="K21" s="25">
        <f t="shared" si="5"/>
        <v>150.6</v>
      </c>
      <c r="L21" s="19">
        <f t="shared" si="6"/>
        <v>65.44980443285527</v>
      </c>
      <c r="M21" s="19">
        <f t="shared" si="1"/>
        <v>79.5</v>
      </c>
      <c r="N21" s="26">
        <f t="shared" si="3"/>
        <v>101.9</v>
      </c>
    </row>
    <row r="22" spans="1:14" ht="39.75" customHeight="1">
      <c r="A22" s="22">
        <v>15</v>
      </c>
      <c r="B22" s="28" t="s">
        <v>59</v>
      </c>
      <c r="C22" s="24">
        <v>-4.3</v>
      </c>
      <c r="D22" s="25">
        <v>1436.3</v>
      </c>
      <c r="E22" s="25">
        <v>1435.7</v>
      </c>
      <c r="F22" s="19">
        <f t="shared" si="0"/>
        <v>99.95822599735432</v>
      </c>
      <c r="G22" s="36">
        <v>1425.7</v>
      </c>
      <c r="H22" s="36">
        <v>1425.7</v>
      </c>
      <c r="I22" s="19">
        <f t="shared" si="2"/>
        <v>100</v>
      </c>
      <c r="J22" s="25">
        <f t="shared" si="4"/>
        <v>2862</v>
      </c>
      <c r="K22" s="25">
        <f t="shared" si="5"/>
        <v>2861.4</v>
      </c>
      <c r="L22" s="19">
        <f t="shared" si="6"/>
        <v>99.979035639413</v>
      </c>
      <c r="M22" s="19">
        <f t="shared" si="1"/>
        <v>0.599999999999909</v>
      </c>
      <c r="N22" s="26">
        <f t="shared" si="3"/>
        <v>-3.700000000000273</v>
      </c>
    </row>
    <row r="23" spans="1:14" ht="24" customHeight="1">
      <c r="A23" s="22">
        <v>16</v>
      </c>
      <c r="B23" s="28" t="s">
        <v>60</v>
      </c>
      <c r="C23" s="190" t="s">
        <v>91</v>
      </c>
      <c r="D23" s="191"/>
      <c r="E23" s="191"/>
      <c r="F23" s="191"/>
      <c r="G23" s="191"/>
      <c r="H23" s="191"/>
      <c r="I23" s="191"/>
      <c r="J23" s="191"/>
      <c r="K23" s="191"/>
      <c r="L23" s="192"/>
      <c r="M23" s="19"/>
      <c r="N23" s="34"/>
    </row>
    <row r="24" spans="1:14" ht="36" customHeight="1">
      <c r="A24" s="22">
        <v>17</v>
      </c>
      <c r="B24" s="28" t="s">
        <v>61</v>
      </c>
      <c r="C24" s="24">
        <v>0</v>
      </c>
      <c r="D24" s="25">
        <v>2474.6</v>
      </c>
      <c r="E24" s="25">
        <v>1994.1</v>
      </c>
      <c r="F24" s="19">
        <f t="shared" si="0"/>
        <v>80.58272043966703</v>
      </c>
      <c r="G24" s="25">
        <v>1946.3</v>
      </c>
      <c r="H24" s="25">
        <v>2991.3</v>
      </c>
      <c r="I24" s="19">
        <f>H24/G24*100</f>
        <v>153.69161999691724</v>
      </c>
      <c r="J24" s="25">
        <f aca="true" t="shared" si="7" ref="J24:K28">D24+G24</f>
        <v>4420.9</v>
      </c>
      <c r="K24" s="25">
        <f t="shared" si="7"/>
        <v>4985.4</v>
      </c>
      <c r="L24" s="19">
        <f>K24/J24*100</f>
        <v>112.76889321178945</v>
      </c>
      <c r="M24" s="19">
        <f>J24-K24</f>
        <v>-564.5</v>
      </c>
      <c r="N24" s="26">
        <f t="shared" si="3"/>
        <v>-564.5</v>
      </c>
    </row>
    <row r="25" spans="1:14" ht="24" customHeight="1">
      <c r="A25" s="22">
        <v>18</v>
      </c>
      <c r="B25" s="23" t="s">
        <v>62</v>
      </c>
      <c r="C25" s="24">
        <v>-266.9</v>
      </c>
      <c r="D25" s="25">
        <v>737.7</v>
      </c>
      <c r="E25" s="25">
        <v>236</v>
      </c>
      <c r="F25" s="19">
        <f t="shared" si="0"/>
        <v>31.99132438660702</v>
      </c>
      <c r="G25" s="36">
        <v>613.8</v>
      </c>
      <c r="H25" s="36">
        <v>211.5</v>
      </c>
      <c r="I25" s="19">
        <f>H25/G25*100</f>
        <v>34.457478005865106</v>
      </c>
      <c r="J25" s="25">
        <f t="shared" si="7"/>
        <v>1351.5</v>
      </c>
      <c r="K25" s="25">
        <f t="shared" si="7"/>
        <v>447.5</v>
      </c>
      <c r="L25" s="19">
        <f>K25/J25*100</f>
        <v>33.11135775064743</v>
      </c>
      <c r="M25" s="19">
        <f>J25-K25</f>
        <v>904</v>
      </c>
      <c r="N25" s="26">
        <f t="shared" si="3"/>
        <v>637.0999999999999</v>
      </c>
    </row>
    <row r="26" spans="1:14" s="67" customFormat="1" ht="24" customHeight="1">
      <c r="A26" s="22">
        <v>19</v>
      </c>
      <c r="B26" s="28" t="s">
        <v>63</v>
      </c>
      <c r="C26" s="24">
        <v>-265.7</v>
      </c>
      <c r="D26" s="25">
        <v>1052.7</v>
      </c>
      <c r="E26" s="25">
        <v>0.1</v>
      </c>
      <c r="F26" s="19">
        <f t="shared" si="0"/>
        <v>0.009499382540134892</v>
      </c>
      <c r="G26" s="25">
        <v>798.8</v>
      </c>
      <c r="H26" s="25">
        <v>1639.1</v>
      </c>
      <c r="I26" s="19">
        <f>H26/G26*100</f>
        <v>205.19529293940911</v>
      </c>
      <c r="J26" s="25">
        <f t="shared" si="7"/>
        <v>1851.5</v>
      </c>
      <c r="K26" s="25">
        <f t="shared" si="7"/>
        <v>1639.1999999999998</v>
      </c>
      <c r="L26" s="19">
        <f>K26/J26*100</f>
        <v>88.53362138806372</v>
      </c>
      <c r="M26" s="19">
        <f>J26-K26</f>
        <v>212.30000000000018</v>
      </c>
      <c r="N26" s="26">
        <f t="shared" si="3"/>
        <v>-53.399999999999864</v>
      </c>
    </row>
    <row r="27" spans="1:14" ht="39" customHeight="1">
      <c r="A27" s="22">
        <v>20</v>
      </c>
      <c r="B27" s="28" t="s">
        <v>94</v>
      </c>
      <c r="C27" s="24">
        <v>0</v>
      </c>
      <c r="D27" s="25">
        <v>1867.4</v>
      </c>
      <c r="E27" s="25">
        <v>721.9</v>
      </c>
      <c r="F27" s="19">
        <f t="shared" si="0"/>
        <v>38.658027203598586</v>
      </c>
      <c r="G27" s="25">
        <v>1373.9</v>
      </c>
      <c r="H27" s="25">
        <v>1245.5</v>
      </c>
      <c r="I27" s="19">
        <f>H27/G27*100</f>
        <v>90.65434165514229</v>
      </c>
      <c r="J27" s="25">
        <f t="shared" si="7"/>
        <v>3241.3</v>
      </c>
      <c r="K27" s="25">
        <f t="shared" si="7"/>
        <v>1967.4</v>
      </c>
      <c r="L27" s="19">
        <f>K27/J27*100</f>
        <v>60.697868139326815</v>
      </c>
      <c r="M27" s="19">
        <f>J27-K27</f>
        <v>1273.9</v>
      </c>
      <c r="N27" s="26">
        <f t="shared" si="3"/>
        <v>1273.9</v>
      </c>
    </row>
    <row r="28" spans="1:14" ht="39" customHeight="1">
      <c r="A28" s="22">
        <v>21</v>
      </c>
      <c r="B28" s="23" t="s">
        <v>64</v>
      </c>
      <c r="C28" s="24">
        <f>39.2+11.9</f>
        <v>51.1</v>
      </c>
      <c r="D28" s="25">
        <f>75.4+3297.3</f>
        <v>3372.7000000000003</v>
      </c>
      <c r="E28" s="25">
        <v>2429.3</v>
      </c>
      <c r="F28" s="19">
        <f t="shared" si="0"/>
        <v>72.0283452426839</v>
      </c>
      <c r="G28" s="36">
        <f>112+1760</f>
        <v>1872</v>
      </c>
      <c r="H28" s="36">
        <f>199.9+2413.4</f>
        <v>2613.3</v>
      </c>
      <c r="I28" s="19">
        <f>H28/G28*100</f>
        <v>139.59935897435898</v>
      </c>
      <c r="J28" s="25">
        <f t="shared" si="7"/>
        <v>5244.700000000001</v>
      </c>
      <c r="K28" s="25">
        <f t="shared" si="7"/>
        <v>5042.6</v>
      </c>
      <c r="L28" s="19">
        <f>K28/J28*100</f>
        <v>96.14658607737334</v>
      </c>
      <c r="M28" s="19">
        <f>J28-K28</f>
        <v>202.10000000000036</v>
      </c>
      <c r="N28" s="26">
        <f t="shared" si="3"/>
        <v>253.20000000000073</v>
      </c>
    </row>
    <row r="29" spans="1:14" ht="24" customHeight="1">
      <c r="A29" s="22">
        <v>22</v>
      </c>
      <c r="B29" s="23" t="s">
        <v>65</v>
      </c>
      <c r="C29" s="200" t="s">
        <v>91</v>
      </c>
      <c r="D29" s="201"/>
      <c r="E29" s="201"/>
      <c r="F29" s="201"/>
      <c r="G29" s="201"/>
      <c r="H29" s="201"/>
      <c r="I29" s="201"/>
      <c r="J29" s="201"/>
      <c r="K29" s="201"/>
      <c r="L29" s="202"/>
      <c r="M29" s="179"/>
      <c r="N29" s="39"/>
    </row>
    <row r="30" spans="1:14" ht="24" customHeight="1">
      <c r="A30" s="22">
        <v>23</v>
      </c>
      <c r="B30" s="28" t="s">
        <v>66</v>
      </c>
      <c r="C30" s="203"/>
      <c r="D30" s="204"/>
      <c r="E30" s="204"/>
      <c r="F30" s="204"/>
      <c r="G30" s="204"/>
      <c r="H30" s="204"/>
      <c r="I30" s="204"/>
      <c r="J30" s="204"/>
      <c r="K30" s="204"/>
      <c r="L30" s="205"/>
      <c r="M30" s="180"/>
      <c r="N30" s="41"/>
    </row>
    <row r="31" spans="1:14" ht="24" customHeight="1">
      <c r="A31" s="22">
        <v>24</v>
      </c>
      <c r="B31" s="28" t="s">
        <v>67</v>
      </c>
      <c r="C31" s="42"/>
      <c r="D31" s="71"/>
      <c r="E31" s="71"/>
      <c r="F31" s="71"/>
      <c r="G31" s="43"/>
      <c r="H31" s="43"/>
      <c r="I31" s="43"/>
      <c r="J31" s="43"/>
      <c r="K31" s="43"/>
      <c r="L31" s="43"/>
      <c r="M31" s="181"/>
      <c r="N31" s="44"/>
    </row>
    <row r="32" spans="1:14" ht="24" customHeight="1">
      <c r="A32" s="22">
        <v>25</v>
      </c>
      <c r="B32" s="28" t="s">
        <v>87</v>
      </c>
      <c r="C32" s="24"/>
      <c r="D32" s="32"/>
      <c r="E32" s="32"/>
      <c r="F32" s="31"/>
      <c r="G32" s="30"/>
      <c r="H32" s="30"/>
      <c r="I32" s="31"/>
      <c r="J32" s="30"/>
      <c r="K32" s="30"/>
      <c r="L32" s="31"/>
      <c r="M32" s="19"/>
      <c r="N32" s="45"/>
    </row>
    <row r="33" spans="1:14" ht="24" customHeight="1">
      <c r="A33" s="22"/>
      <c r="B33" s="28" t="s">
        <v>103</v>
      </c>
      <c r="C33" s="24">
        <f>-88+(-262.8)</f>
        <v>-350.8</v>
      </c>
      <c r="D33" s="25">
        <f>1233+62.4+1960.4+7161.9</f>
        <v>10417.7</v>
      </c>
      <c r="E33" s="25">
        <f>-11.4+162.4+5131.3</f>
        <v>5282.3</v>
      </c>
      <c r="F33" s="19">
        <f aca="true" t="shared" si="8" ref="F33:F47">E33/D33*100</f>
        <v>50.70505005903414</v>
      </c>
      <c r="G33" s="25">
        <f>811.8+47.7+1677.7+5318.4</f>
        <v>7855.599999999999</v>
      </c>
      <c r="H33" s="25">
        <f>2525.8+17.9+2845.6+5791.7</f>
        <v>11181</v>
      </c>
      <c r="I33" s="19">
        <f aca="true" t="shared" si="9" ref="I33:I45">H33/G33*100</f>
        <v>142.33158511125822</v>
      </c>
      <c r="J33" s="25">
        <f>D33+G33</f>
        <v>18273.3</v>
      </c>
      <c r="K33" s="25">
        <f>E33+H33</f>
        <v>16463.3</v>
      </c>
      <c r="L33" s="19">
        <f>K33/J33*100</f>
        <v>90.0948378234911</v>
      </c>
      <c r="M33" s="19">
        <f>J33-K33</f>
        <v>1810</v>
      </c>
      <c r="N33" s="26">
        <f aca="true" t="shared" si="10" ref="N33:N42">C33+J33-K33</f>
        <v>1459.2000000000007</v>
      </c>
    </row>
    <row r="34" spans="1:14" ht="24.75" customHeight="1">
      <c r="A34" s="46"/>
      <c r="B34" s="28" t="s">
        <v>69</v>
      </c>
      <c r="C34" s="24">
        <v>-63.9</v>
      </c>
      <c r="D34" s="25">
        <v>156.7</v>
      </c>
      <c r="E34" s="25">
        <v>0</v>
      </c>
      <c r="F34" s="19">
        <f t="shared" si="8"/>
        <v>0</v>
      </c>
      <c r="G34" s="25">
        <v>155.6</v>
      </c>
      <c r="H34" s="25">
        <v>100.7</v>
      </c>
      <c r="I34" s="19">
        <f t="shared" si="9"/>
        <v>64.71722365038562</v>
      </c>
      <c r="J34" s="25">
        <f aca="true" t="shared" si="11" ref="J34:J42">D34+G34</f>
        <v>312.29999999999995</v>
      </c>
      <c r="K34" s="25">
        <f aca="true" t="shared" si="12" ref="K34:K42">E34+H34</f>
        <v>100.7</v>
      </c>
      <c r="L34" s="19">
        <f aca="true" t="shared" si="13" ref="L34:L42">K34/J34*100</f>
        <v>32.24463656740315</v>
      </c>
      <c r="M34" s="19">
        <f aca="true" t="shared" si="14" ref="M34:M42">J34-K34</f>
        <v>211.59999999999997</v>
      </c>
      <c r="N34" s="26">
        <f t="shared" si="10"/>
        <v>147.69999999999993</v>
      </c>
    </row>
    <row r="35" spans="1:14" ht="37.5" customHeight="1">
      <c r="A35" s="22">
        <v>26</v>
      </c>
      <c r="B35" s="28" t="s">
        <v>95</v>
      </c>
      <c r="C35" s="24">
        <v>-143.3</v>
      </c>
      <c r="D35" s="25">
        <f>143.4+730</f>
        <v>873.4</v>
      </c>
      <c r="E35" s="25">
        <v>17.4</v>
      </c>
      <c r="F35" s="19">
        <f t="shared" si="8"/>
        <v>1.992214334783604</v>
      </c>
      <c r="G35" s="25">
        <f>195.2+544.8</f>
        <v>740</v>
      </c>
      <c r="H35" s="25">
        <f>163+686.3</f>
        <v>849.3</v>
      </c>
      <c r="I35" s="19">
        <f t="shared" si="9"/>
        <v>114.77027027027027</v>
      </c>
      <c r="J35" s="25">
        <f t="shared" si="11"/>
        <v>1613.4</v>
      </c>
      <c r="K35" s="25">
        <f t="shared" si="12"/>
        <v>866.6999999999999</v>
      </c>
      <c r="L35" s="19">
        <f t="shared" si="13"/>
        <v>53.71885459278541</v>
      </c>
      <c r="M35" s="19">
        <f t="shared" si="14"/>
        <v>746.7000000000002</v>
      </c>
      <c r="N35" s="26">
        <f t="shared" si="10"/>
        <v>603.4000000000002</v>
      </c>
    </row>
    <row r="36" spans="1:14" ht="24" customHeight="1">
      <c r="A36" s="22">
        <v>27</v>
      </c>
      <c r="B36" s="23" t="s">
        <v>70</v>
      </c>
      <c r="C36" s="24">
        <v>-229.6</v>
      </c>
      <c r="D36" s="25">
        <v>1257.1</v>
      </c>
      <c r="E36" s="25">
        <v>383.2</v>
      </c>
      <c r="F36" s="19">
        <f t="shared" si="8"/>
        <v>30.482857370137616</v>
      </c>
      <c r="G36" s="25">
        <v>1042.7</v>
      </c>
      <c r="H36" s="25">
        <v>581.9</v>
      </c>
      <c r="I36" s="19">
        <f t="shared" si="9"/>
        <v>55.80703941689843</v>
      </c>
      <c r="J36" s="25">
        <f t="shared" si="11"/>
        <v>2299.8</v>
      </c>
      <c r="K36" s="25">
        <f t="shared" si="12"/>
        <v>965.0999999999999</v>
      </c>
      <c r="L36" s="19">
        <f t="shared" si="13"/>
        <v>41.96451865379597</v>
      </c>
      <c r="M36" s="19">
        <f t="shared" si="14"/>
        <v>1334.7000000000003</v>
      </c>
      <c r="N36" s="26">
        <f t="shared" si="10"/>
        <v>1105.1000000000004</v>
      </c>
    </row>
    <row r="37" spans="1:14" ht="24" customHeight="1">
      <c r="A37" s="22">
        <v>28</v>
      </c>
      <c r="B37" s="28" t="s">
        <v>71</v>
      </c>
      <c r="C37" s="24">
        <v>-484.4</v>
      </c>
      <c r="D37" s="25">
        <v>3699.6</v>
      </c>
      <c r="E37" s="25">
        <v>0</v>
      </c>
      <c r="F37" s="19">
        <f t="shared" si="8"/>
        <v>0</v>
      </c>
      <c r="G37" s="25">
        <v>3050.5</v>
      </c>
      <c r="H37" s="25">
        <v>3236.4</v>
      </c>
      <c r="I37" s="19">
        <f t="shared" si="9"/>
        <v>106.0940829372234</v>
      </c>
      <c r="J37" s="25">
        <f t="shared" si="11"/>
        <v>6750.1</v>
      </c>
      <c r="K37" s="25">
        <f t="shared" si="12"/>
        <v>3236.4</v>
      </c>
      <c r="L37" s="19">
        <f t="shared" si="13"/>
        <v>47.94595635620213</v>
      </c>
      <c r="M37" s="19">
        <f t="shared" si="14"/>
        <v>3513.7000000000003</v>
      </c>
      <c r="N37" s="26">
        <f t="shared" si="10"/>
        <v>3029.3000000000006</v>
      </c>
    </row>
    <row r="38" spans="1:14" ht="24" customHeight="1">
      <c r="A38" s="22">
        <v>29</v>
      </c>
      <c r="B38" s="28" t="s">
        <v>72</v>
      </c>
      <c r="C38" s="24">
        <v>-1665</v>
      </c>
      <c r="D38" s="25">
        <v>2068.7</v>
      </c>
      <c r="E38" s="25">
        <v>4.6</v>
      </c>
      <c r="F38" s="19">
        <f t="shared" si="8"/>
        <v>0.2223618697732876</v>
      </c>
      <c r="G38" s="25">
        <v>3253.4</v>
      </c>
      <c r="H38" s="25">
        <v>4183</v>
      </c>
      <c r="I38" s="19">
        <f t="shared" si="9"/>
        <v>128.5731849757177</v>
      </c>
      <c r="J38" s="25">
        <f t="shared" si="11"/>
        <v>5322.1</v>
      </c>
      <c r="K38" s="25">
        <f t="shared" si="12"/>
        <v>4187.6</v>
      </c>
      <c r="L38" s="19">
        <f t="shared" si="13"/>
        <v>78.68322654591233</v>
      </c>
      <c r="M38" s="19">
        <f t="shared" si="14"/>
        <v>1134.5</v>
      </c>
      <c r="N38" s="26">
        <f t="shared" si="10"/>
        <v>-530.5</v>
      </c>
    </row>
    <row r="39" spans="1:14" s="67" customFormat="1" ht="26.25" customHeight="1">
      <c r="A39" s="22">
        <v>30</v>
      </c>
      <c r="B39" s="28" t="s">
        <v>96</v>
      </c>
      <c r="C39" s="24">
        <f>-510.9+24.6</f>
        <v>-486.29999999999995</v>
      </c>
      <c r="D39" s="25">
        <f>6001.2+97.2</f>
        <v>6098.4</v>
      </c>
      <c r="E39" s="25">
        <v>0</v>
      </c>
      <c r="F39" s="19">
        <f t="shared" si="8"/>
        <v>0</v>
      </c>
      <c r="G39" s="25">
        <f>5149.7+51.1</f>
        <v>5200.8</v>
      </c>
      <c r="H39" s="25">
        <f>4356.8+121.8</f>
        <v>4478.6</v>
      </c>
      <c r="I39" s="19">
        <f t="shared" si="9"/>
        <v>86.11367481925858</v>
      </c>
      <c r="J39" s="25">
        <f t="shared" si="11"/>
        <v>11299.2</v>
      </c>
      <c r="K39" s="25">
        <f t="shared" si="12"/>
        <v>4478.6</v>
      </c>
      <c r="L39" s="19">
        <f t="shared" si="13"/>
        <v>39.63643443783631</v>
      </c>
      <c r="M39" s="19">
        <f t="shared" si="14"/>
        <v>6820.6</v>
      </c>
      <c r="N39" s="26">
        <f t="shared" si="10"/>
        <v>6334.300000000001</v>
      </c>
    </row>
    <row r="40" spans="1:14" ht="24.75" customHeight="1">
      <c r="A40" s="22">
        <v>31</v>
      </c>
      <c r="B40" s="28" t="s">
        <v>73</v>
      </c>
      <c r="C40" s="24">
        <v>-82.8</v>
      </c>
      <c r="D40" s="25">
        <v>467.7</v>
      </c>
      <c r="E40" s="25">
        <v>72.3</v>
      </c>
      <c r="F40" s="19">
        <f t="shared" si="8"/>
        <v>15.458627325208466</v>
      </c>
      <c r="G40" s="25">
        <v>351.8</v>
      </c>
      <c r="H40" s="25">
        <v>123.2</v>
      </c>
      <c r="I40" s="19">
        <f t="shared" si="9"/>
        <v>35.01989766913019</v>
      </c>
      <c r="J40" s="25">
        <f t="shared" si="11"/>
        <v>819.5</v>
      </c>
      <c r="K40" s="25">
        <f t="shared" si="12"/>
        <v>195.5</v>
      </c>
      <c r="L40" s="19">
        <f t="shared" si="13"/>
        <v>23.856009762050032</v>
      </c>
      <c r="M40" s="19">
        <f t="shared" si="14"/>
        <v>624</v>
      </c>
      <c r="N40" s="26">
        <f t="shared" si="10"/>
        <v>541.2</v>
      </c>
    </row>
    <row r="41" spans="1:14" s="67" customFormat="1" ht="36.75" customHeight="1">
      <c r="A41" s="22">
        <v>32</v>
      </c>
      <c r="B41" s="23" t="s">
        <v>74</v>
      </c>
      <c r="C41" s="24">
        <f>365+(-93.3)</f>
        <v>271.7</v>
      </c>
      <c r="D41" s="25">
        <f>2230.5+113.8</f>
        <v>2344.3</v>
      </c>
      <c r="E41" s="25">
        <f>71.4-13.7</f>
        <v>57.7</v>
      </c>
      <c r="F41" s="19">
        <f t="shared" si="8"/>
        <v>2.4612890841615833</v>
      </c>
      <c r="G41" s="102">
        <f>1740.5+84.4</f>
        <v>1824.9</v>
      </c>
      <c r="H41" s="102">
        <f>2541.7+61.8</f>
        <v>2603.5</v>
      </c>
      <c r="I41" s="117">
        <f t="shared" si="9"/>
        <v>142.665351526111</v>
      </c>
      <c r="J41" s="25">
        <f t="shared" si="11"/>
        <v>4169.200000000001</v>
      </c>
      <c r="K41" s="25">
        <f t="shared" si="12"/>
        <v>2661.2</v>
      </c>
      <c r="L41" s="19">
        <f t="shared" si="13"/>
        <v>63.82999136524992</v>
      </c>
      <c r="M41" s="19">
        <f t="shared" si="14"/>
        <v>1508.000000000001</v>
      </c>
      <c r="N41" s="26">
        <f t="shared" si="10"/>
        <v>1779.7000000000007</v>
      </c>
    </row>
    <row r="42" spans="1:14" s="67" customFormat="1" ht="23.25" customHeight="1">
      <c r="A42" s="22">
        <v>33</v>
      </c>
      <c r="B42" s="28" t="s">
        <v>75</v>
      </c>
      <c r="C42" s="24">
        <f>161.4+175</f>
        <v>336.4</v>
      </c>
      <c r="D42" s="25">
        <f>1364.5+925.8</f>
        <v>2290.3</v>
      </c>
      <c r="E42" s="25">
        <f>2068.3+391.3</f>
        <v>2459.6000000000004</v>
      </c>
      <c r="F42" s="19">
        <f t="shared" si="8"/>
        <v>107.39204471029997</v>
      </c>
      <c r="G42" s="25">
        <f>1238.6+804.5</f>
        <v>2043.1</v>
      </c>
      <c r="H42" s="25">
        <f>206.4+516.7</f>
        <v>723.1</v>
      </c>
      <c r="I42" s="19">
        <f t="shared" si="9"/>
        <v>35.39229602075278</v>
      </c>
      <c r="J42" s="25">
        <f t="shared" si="11"/>
        <v>4333.4</v>
      </c>
      <c r="K42" s="25">
        <f t="shared" si="12"/>
        <v>3182.7000000000003</v>
      </c>
      <c r="L42" s="19">
        <f t="shared" si="13"/>
        <v>73.44579314164399</v>
      </c>
      <c r="M42" s="19">
        <f t="shared" si="14"/>
        <v>1150.6999999999994</v>
      </c>
      <c r="N42" s="26">
        <f t="shared" si="10"/>
        <v>1487.099999999999</v>
      </c>
    </row>
    <row r="43" spans="1:14" s="21" customFormat="1" ht="24.75" customHeight="1">
      <c r="A43" s="47">
        <v>34</v>
      </c>
      <c r="B43" s="48" t="s">
        <v>76</v>
      </c>
      <c r="C43" s="49">
        <f>C44+C45</f>
        <v>201076.9</v>
      </c>
      <c r="D43" s="49">
        <f>D44+D45</f>
        <v>78842.2</v>
      </c>
      <c r="E43" s="49">
        <f>E44+E45</f>
        <v>10915</v>
      </c>
      <c r="F43" s="19">
        <f t="shared" si="8"/>
        <v>13.84410886555677</v>
      </c>
      <c r="G43" s="49">
        <f>G44+G45</f>
        <v>74697.7</v>
      </c>
      <c r="H43" s="49">
        <f>H44+H45</f>
        <v>60428.1</v>
      </c>
      <c r="I43" s="19">
        <f>H43/G43*100</f>
        <v>80.896868310537</v>
      </c>
      <c r="J43" s="49">
        <f>J44+J45</f>
        <v>153539.9</v>
      </c>
      <c r="K43" s="49">
        <f>K44+K45</f>
        <v>71343.1</v>
      </c>
      <c r="L43" s="19">
        <f>K43/J43*100</f>
        <v>46.46551157060804</v>
      </c>
      <c r="M43" s="50">
        <f>M44+M45</f>
        <v>82196.8</v>
      </c>
      <c r="N43" s="50">
        <f>N44+N45</f>
        <v>283273.7</v>
      </c>
    </row>
    <row r="44" spans="1:14" s="21" customFormat="1" ht="24.75" customHeight="1">
      <c r="A44" s="47"/>
      <c r="B44" s="23" t="s">
        <v>77</v>
      </c>
      <c r="C44" s="24">
        <f>3448+197629</f>
        <v>201077</v>
      </c>
      <c r="D44" s="25">
        <v>76848</v>
      </c>
      <c r="E44" s="25">
        <v>10915</v>
      </c>
      <c r="F44" s="19">
        <f t="shared" si="8"/>
        <v>14.20336248178222</v>
      </c>
      <c r="G44" s="25">
        <f>17073+55611</f>
        <v>72684</v>
      </c>
      <c r="H44" s="25">
        <f>16895+41539</f>
        <v>58434</v>
      </c>
      <c r="I44" s="19">
        <f t="shared" si="9"/>
        <v>80.39458477794288</v>
      </c>
      <c r="J44" s="25">
        <f>D44+G44</f>
        <v>149532</v>
      </c>
      <c r="K44" s="25">
        <f>E44+H44</f>
        <v>69349</v>
      </c>
      <c r="L44" s="19">
        <f>K44/J44*100</f>
        <v>46.3773640424792</v>
      </c>
      <c r="M44" s="19">
        <f>J44-K44</f>
        <v>80183</v>
      </c>
      <c r="N44" s="26">
        <f>C44+J44-K44</f>
        <v>281260</v>
      </c>
    </row>
    <row r="45" spans="1:14" s="21" customFormat="1" ht="24.75" customHeight="1">
      <c r="A45" s="47"/>
      <c r="B45" s="23" t="s">
        <v>69</v>
      </c>
      <c r="C45" s="24">
        <v>-0.1</v>
      </c>
      <c r="D45" s="25">
        <v>1994.2</v>
      </c>
      <c r="E45" s="25">
        <v>0</v>
      </c>
      <c r="F45" s="19">
        <f t="shared" si="8"/>
        <v>0</v>
      </c>
      <c r="G45" s="36">
        <v>2013.7</v>
      </c>
      <c r="H45" s="36">
        <v>1994.1</v>
      </c>
      <c r="I45" s="19">
        <f t="shared" si="9"/>
        <v>99.02666732879773</v>
      </c>
      <c r="J45" s="25">
        <f>D45+G45</f>
        <v>4007.9</v>
      </c>
      <c r="K45" s="25">
        <f>E45+H45</f>
        <v>1994.1</v>
      </c>
      <c r="L45" s="19">
        <f>K45/J45*100</f>
        <v>49.7542353851144</v>
      </c>
      <c r="M45" s="19">
        <f>J45-K45</f>
        <v>2013.8000000000002</v>
      </c>
      <c r="N45" s="26">
        <f>C45+J45-K45</f>
        <v>2013.7000000000003</v>
      </c>
    </row>
    <row r="46" spans="1:14" s="21" customFormat="1" ht="24.75" customHeight="1">
      <c r="A46" s="47"/>
      <c r="B46" s="48" t="s">
        <v>78</v>
      </c>
      <c r="C46" s="49">
        <f>C7+C43</f>
        <v>195564.9</v>
      </c>
      <c r="D46" s="26">
        <f>D43+D7</f>
        <v>134467.2</v>
      </c>
      <c r="E46" s="26">
        <f>E43+E7</f>
        <v>29206.199999999997</v>
      </c>
      <c r="F46" s="19">
        <f t="shared" si="8"/>
        <v>21.719943599628753</v>
      </c>
      <c r="G46" s="26">
        <f>G7+G43</f>
        <v>121798.3</v>
      </c>
      <c r="H46" s="26">
        <f>H7+H43</f>
        <v>112163.29999999999</v>
      </c>
      <c r="I46" s="19">
        <f>H46/G46*100</f>
        <v>92.0893805578567</v>
      </c>
      <c r="J46" s="26">
        <f>J7+J43</f>
        <v>256265.5</v>
      </c>
      <c r="K46" s="26">
        <f>K7+K43</f>
        <v>141369.5</v>
      </c>
      <c r="L46" s="19">
        <f>K46/J46*100</f>
        <v>55.16524854106386</v>
      </c>
      <c r="M46" s="50">
        <f>M7+M43</f>
        <v>114896</v>
      </c>
      <c r="N46" s="50">
        <f>N7+N43</f>
        <v>310460.9</v>
      </c>
    </row>
    <row r="47" spans="2:14" ht="37.5" customHeight="1">
      <c r="B47" s="79"/>
      <c r="C47" s="80"/>
      <c r="D47" s="81"/>
      <c r="E47" s="81"/>
      <c r="F47" s="82" t="e">
        <f t="shared" si="8"/>
        <v>#DIV/0!</v>
      </c>
      <c r="G47" s="65"/>
      <c r="H47" s="65"/>
      <c r="I47" s="213"/>
      <c r="J47" s="65"/>
      <c r="K47" s="65"/>
      <c r="L47" s="213"/>
      <c r="M47" s="65"/>
      <c r="N47" s="65"/>
    </row>
    <row r="48" spans="2:14" ht="33.75" customHeight="1">
      <c r="B48" s="198"/>
      <c r="C48" s="198"/>
      <c r="D48" s="198"/>
      <c r="E48" s="198"/>
      <c r="F48" s="198"/>
      <c r="G48" s="65"/>
      <c r="H48" s="65"/>
      <c r="I48" s="213"/>
      <c r="J48" s="65"/>
      <c r="K48" s="65"/>
      <c r="L48" s="213"/>
      <c r="M48" s="65"/>
      <c r="N48" s="65"/>
    </row>
    <row r="49" spans="1:14" ht="18.75" customHeight="1" hidden="1">
      <c r="A49" s="22"/>
      <c r="B49" s="21" t="s">
        <v>82</v>
      </c>
      <c r="C49" s="80"/>
      <c r="D49" s="83"/>
      <c r="E49" s="83"/>
      <c r="F49" s="54"/>
      <c r="G49" s="55"/>
      <c r="H49" s="55"/>
      <c r="I49" s="55"/>
      <c r="J49" s="55"/>
      <c r="K49" s="55"/>
      <c r="L49" s="55"/>
      <c r="M49" s="55"/>
      <c r="N49" s="57"/>
    </row>
    <row r="50" spans="2:14" ht="6.75" customHeight="1" hidden="1">
      <c r="B50" s="21"/>
      <c r="C50" s="80"/>
      <c r="D50" s="84"/>
      <c r="E50" s="84"/>
      <c r="F50" s="54"/>
      <c r="G50" s="55"/>
      <c r="H50" s="55"/>
      <c r="I50" s="55"/>
      <c r="J50" s="55"/>
      <c r="K50" s="55"/>
      <c r="L50" s="55"/>
      <c r="M50" s="55"/>
      <c r="N50" s="57"/>
    </row>
    <row r="51" spans="1:14" ht="18.75" customHeight="1" hidden="1">
      <c r="A51" s="22"/>
      <c r="B51" s="21" t="s">
        <v>83</v>
      </c>
      <c r="C51" s="80"/>
      <c r="D51" s="83"/>
      <c r="E51" s="83"/>
      <c r="F51" s="54"/>
      <c r="G51" s="56"/>
      <c r="H51" s="56"/>
      <c r="I51" s="59"/>
      <c r="J51" s="58"/>
      <c r="K51" s="58"/>
      <c r="L51" s="59"/>
      <c r="M51" s="56"/>
      <c r="N51" s="61" t="s">
        <v>98</v>
      </c>
    </row>
    <row r="52" spans="2:14" ht="24.75" customHeight="1">
      <c r="B52" s="21"/>
      <c r="C52" s="80"/>
      <c r="D52" s="81"/>
      <c r="E52" s="81"/>
      <c r="F52" s="54"/>
      <c r="G52" s="56"/>
      <c r="H52" s="56"/>
      <c r="I52" s="59"/>
      <c r="J52" s="56"/>
      <c r="K52" s="56"/>
      <c r="L52" s="59"/>
      <c r="M52" s="56"/>
      <c r="N52" s="56"/>
    </row>
    <row r="53" spans="1:14" s="5" customFormat="1" ht="48.75" customHeight="1">
      <c r="A53" s="1"/>
      <c r="B53" s="185" t="s">
        <v>102</v>
      </c>
      <c r="C53" s="185"/>
      <c r="D53" s="185"/>
      <c r="E53" s="2"/>
      <c r="F53" s="212"/>
      <c r="G53" s="3"/>
      <c r="H53" s="3"/>
      <c r="I53" s="212"/>
      <c r="J53" s="2"/>
      <c r="K53" s="2"/>
      <c r="L53" s="212"/>
      <c r="M53" s="3"/>
      <c r="N53" s="4" t="s">
        <v>101</v>
      </c>
    </row>
    <row r="54" spans="2:14" ht="46.5" customHeight="1" hidden="1">
      <c r="B54" s="199" t="s">
        <v>37</v>
      </c>
      <c r="C54" s="199"/>
      <c r="D54" s="21"/>
      <c r="E54" s="21"/>
      <c r="G54" s="65"/>
      <c r="H54" s="65"/>
      <c r="I54" s="213"/>
      <c r="J54" s="65"/>
      <c r="K54" s="65"/>
      <c r="L54" s="213"/>
      <c r="M54" s="65"/>
      <c r="N54" s="65"/>
    </row>
    <row r="55" spans="1:17" ht="73.5" customHeight="1">
      <c r="A55" s="186" t="s">
        <v>100</v>
      </c>
      <c r="B55" s="186"/>
      <c r="C55" s="186"/>
      <c r="D55" s="58"/>
      <c r="E55" s="58"/>
      <c r="F55" s="59"/>
      <c r="G55" s="25">
        <v>142.7</v>
      </c>
      <c r="H55" s="25">
        <v>103.3</v>
      </c>
      <c r="I55" s="19"/>
      <c r="J55" s="25">
        <v>1154.2</v>
      </c>
      <c r="K55" s="25">
        <v>1213.3</v>
      </c>
      <c r="L55" s="19"/>
      <c r="M55" s="25"/>
      <c r="N55" s="26">
        <f>C55+D55-E55</f>
        <v>0</v>
      </c>
      <c r="O55" s="56"/>
      <c r="P55" s="59"/>
      <c r="Q55" s="61" t="s">
        <v>98</v>
      </c>
    </row>
    <row r="56" spans="2:14" ht="18.75">
      <c r="B56" s="8" t="s">
        <v>39</v>
      </c>
      <c r="C56" s="66">
        <v>278.9</v>
      </c>
      <c r="D56" s="25">
        <v>761.9</v>
      </c>
      <c r="E56" s="25">
        <v>1041</v>
      </c>
      <c r="F56" s="19"/>
      <c r="G56" s="65"/>
      <c r="H56" s="65"/>
      <c r="I56" s="213"/>
      <c r="J56" s="65">
        <v>1415.7</v>
      </c>
      <c r="K56" s="65">
        <v>1436.1</v>
      </c>
      <c r="L56" s="213"/>
      <c r="M56" s="65"/>
      <c r="N56" s="26">
        <f>C56+D56-E56</f>
        <v>-0.20000000000004547</v>
      </c>
    </row>
    <row r="57" spans="2:14" ht="18.75">
      <c r="B57" s="8" t="s">
        <v>40</v>
      </c>
      <c r="C57" s="62">
        <v>923.4</v>
      </c>
      <c r="D57" s="56">
        <v>2513</v>
      </c>
      <c r="E57" s="56">
        <v>3352.9</v>
      </c>
      <c r="F57" s="59"/>
      <c r="G57" s="65"/>
      <c r="H57" s="65"/>
      <c r="I57" s="213"/>
      <c r="J57" s="65"/>
      <c r="K57" s="65"/>
      <c r="L57" s="213"/>
      <c r="M57" s="65"/>
      <c r="N57" s="65"/>
    </row>
    <row r="58" spans="3:14" ht="24.75" customHeight="1">
      <c r="C58" s="62"/>
      <c r="D58" s="56"/>
      <c r="E58" s="56"/>
      <c r="F58" s="59"/>
      <c r="G58" s="65"/>
      <c r="H58" s="65"/>
      <c r="I58" s="213"/>
      <c r="J58" s="65"/>
      <c r="K58" s="65"/>
      <c r="L58" s="213"/>
      <c r="M58" s="65"/>
      <c r="N58" s="65"/>
    </row>
    <row r="59" spans="3:14" ht="24.75" customHeight="1">
      <c r="C59" s="62"/>
      <c r="D59" s="56"/>
      <c r="E59" s="56"/>
      <c r="F59" s="59"/>
      <c r="G59" s="65"/>
      <c r="H59" s="65"/>
      <c r="I59" s="213"/>
      <c r="J59" s="65"/>
      <c r="K59" s="65"/>
      <c r="L59" s="213"/>
      <c r="M59" s="65"/>
      <c r="N59" s="65">
        <f>N9+N17+N20+N26+N36+N38+N40</f>
        <v>1609.8000000000006</v>
      </c>
    </row>
    <row r="60" spans="2:14" ht="18.75">
      <c r="B60" s="8" t="s">
        <v>41</v>
      </c>
      <c r="C60" s="62">
        <f>C9+C17+C20+C26+C36+C38+C40</f>
        <v>-3263.6</v>
      </c>
      <c r="D60" s="56"/>
      <c r="E60" s="56"/>
      <c r="F60" s="59"/>
      <c r="G60" s="65"/>
      <c r="H60" s="65"/>
      <c r="I60" s="213"/>
      <c r="J60" s="65"/>
      <c r="K60" s="65"/>
      <c r="L60" s="213"/>
      <c r="M60" s="65"/>
      <c r="N60" s="65">
        <f>N11+N13+N14+N16+N18+N19+N25</f>
        <v>5617.299999999999</v>
      </c>
    </row>
    <row r="61" spans="2:14" ht="18.75">
      <c r="B61" s="8" t="s">
        <v>42</v>
      </c>
      <c r="C61" s="62">
        <f>C11+C13+C14+C16+C18+C19+C25</f>
        <v>-175.79999999999998</v>
      </c>
      <c r="D61" s="56"/>
      <c r="E61" s="56"/>
      <c r="F61" s="59"/>
      <c r="G61" s="65"/>
      <c r="H61" s="65"/>
      <c r="I61" s="213"/>
      <c r="J61" s="65"/>
      <c r="K61" s="65"/>
      <c r="L61" s="213"/>
      <c r="M61" s="65"/>
      <c r="N61" s="65"/>
    </row>
    <row r="62" spans="7:14" ht="24.75" customHeight="1">
      <c r="G62" s="65"/>
      <c r="H62" s="65"/>
      <c r="I62" s="213"/>
      <c r="J62" s="65"/>
      <c r="K62" s="65"/>
      <c r="L62" s="213"/>
      <c r="M62" s="65"/>
      <c r="N62" s="65"/>
    </row>
    <row r="63" spans="7:14" ht="24.75" customHeight="1">
      <c r="G63" s="65"/>
      <c r="H63" s="65"/>
      <c r="I63" s="213"/>
      <c r="J63" s="65"/>
      <c r="K63" s="65"/>
      <c r="L63" s="213"/>
      <c r="M63" s="65"/>
      <c r="N63" s="65"/>
    </row>
    <row r="64" spans="7:14" ht="24.75" customHeight="1">
      <c r="G64" s="65"/>
      <c r="H64" s="65"/>
      <c r="I64" s="213"/>
      <c r="J64" s="65"/>
      <c r="K64" s="65"/>
      <c r="L64" s="213"/>
      <c r="M64" s="65"/>
      <c r="N64" s="65"/>
    </row>
    <row r="65" spans="7:14" ht="24.75" customHeight="1">
      <c r="G65" s="65"/>
      <c r="H65" s="65"/>
      <c r="I65" s="213"/>
      <c r="J65" s="65"/>
      <c r="K65" s="65"/>
      <c r="L65" s="213"/>
      <c r="M65" s="65"/>
      <c r="N65" s="65"/>
    </row>
    <row r="66" spans="7:14" ht="24.75" customHeight="1">
      <c r="G66" s="65"/>
      <c r="H66" s="65"/>
      <c r="I66" s="213"/>
      <c r="J66" s="65"/>
      <c r="K66" s="65"/>
      <c r="L66" s="213"/>
      <c r="M66" s="65"/>
      <c r="N66" s="65"/>
    </row>
    <row r="67" spans="7:14" ht="24.75" customHeight="1">
      <c r="G67" s="65"/>
      <c r="H67" s="65"/>
      <c r="I67" s="213"/>
      <c r="J67" s="65"/>
      <c r="K67" s="65"/>
      <c r="L67" s="213"/>
      <c r="M67" s="65"/>
      <c r="N67" s="65"/>
    </row>
    <row r="68" spans="7:14" ht="24.75" customHeight="1">
      <c r="G68" s="65"/>
      <c r="H68" s="65"/>
      <c r="I68" s="213"/>
      <c r="J68" s="65"/>
      <c r="K68" s="65"/>
      <c r="L68" s="213"/>
      <c r="M68" s="65"/>
      <c r="N68" s="65"/>
    </row>
    <row r="69" spans="7:14" ht="24.75" customHeight="1">
      <c r="G69" s="65"/>
      <c r="H69" s="65"/>
      <c r="I69" s="213"/>
      <c r="J69" s="65"/>
      <c r="K69" s="65"/>
      <c r="L69" s="213"/>
      <c r="M69" s="65"/>
      <c r="N69" s="65"/>
    </row>
    <row r="70" spans="7:14" ht="24.75" customHeight="1">
      <c r="G70" s="65"/>
      <c r="H70" s="65"/>
      <c r="I70" s="213"/>
      <c r="J70" s="65"/>
      <c r="K70" s="65"/>
      <c r="L70" s="213"/>
      <c r="M70" s="65"/>
      <c r="N70" s="65"/>
    </row>
    <row r="71" spans="7:14" ht="24.75" customHeight="1">
      <c r="G71" s="65"/>
      <c r="H71" s="65"/>
      <c r="I71" s="213"/>
      <c r="J71" s="65"/>
      <c r="K71" s="65"/>
      <c r="L71" s="213"/>
      <c r="M71" s="65"/>
      <c r="N71" s="65"/>
    </row>
    <row r="72" spans="7:14" ht="24.75" customHeight="1">
      <c r="G72" s="65"/>
      <c r="H72" s="65"/>
      <c r="I72" s="213"/>
      <c r="J72" s="65"/>
      <c r="K72" s="65"/>
      <c r="L72" s="213"/>
      <c r="M72" s="65"/>
      <c r="N72" s="65"/>
    </row>
    <row r="73" spans="7:14" ht="24.75" customHeight="1">
      <c r="G73" s="65"/>
      <c r="H73" s="65"/>
      <c r="I73" s="213"/>
      <c r="J73" s="65"/>
      <c r="K73" s="65"/>
      <c r="L73" s="213"/>
      <c r="M73" s="65"/>
      <c r="N73" s="65"/>
    </row>
    <row r="74" spans="7:14" ht="24.75" customHeight="1">
      <c r="G74" s="65"/>
      <c r="H74" s="65"/>
      <c r="I74" s="213"/>
      <c r="J74" s="65"/>
      <c r="K74" s="65"/>
      <c r="L74" s="213"/>
      <c r="M74" s="65"/>
      <c r="N74" s="65"/>
    </row>
    <row r="75" spans="7:14" ht="24.75" customHeight="1">
      <c r="G75" s="65"/>
      <c r="H75" s="65"/>
      <c r="I75" s="213"/>
      <c r="J75" s="65"/>
      <c r="K75" s="65"/>
      <c r="L75" s="213"/>
      <c r="M75" s="65"/>
      <c r="N75" s="65"/>
    </row>
    <row r="76" spans="7:14" ht="24.75" customHeight="1">
      <c r="G76" s="65"/>
      <c r="H76" s="65"/>
      <c r="I76" s="213"/>
      <c r="J76" s="65"/>
      <c r="K76" s="65"/>
      <c r="L76" s="213"/>
      <c r="M76" s="65"/>
      <c r="N76" s="65"/>
    </row>
    <row r="77" spans="7:14" ht="24.75" customHeight="1">
      <c r="G77" s="65"/>
      <c r="H77" s="65"/>
      <c r="I77" s="213"/>
      <c r="J77" s="65"/>
      <c r="K77" s="65"/>
      <c r="L77" s="213"/>
      <c r="M77" s="65"/>
      <c r="N77" s="65"/>
    </row>
    <row r="78" spans="7:14" ht="24.75" customHeight="1">
      <c r="G78" s="65"/>
      <c r="H78" s="65"/>
      <c r="I78" s="213"/>
      <c r="J78" s="65"/>
      <c r="K78" s="65"/>
      <c r="L78" s="213"/>
      <c r="M78" s="65"/>
      <c r="N78" s="65"/>
    </row>
    <row r="79" spans="7:14" ht="24.75" customHeight="1">
      <c r="G79" s="65"/>
      <c r="H79" s="65"/>
      <c r="I79" s="213"/>
      <c r="J79" s="65"/>
      <c r="K79" s="65"/>
      <c r="L79" s="213"/>
      <c r="M79" s="65"/>
      <c r="N79" s="65"/>
    </row>
    <row r="80" spans="7:14" ht="24.75" customHeight="1">
      <c r="G80" s="65"/>
      <c r="H80" s="65"/>
      <c r="I80" s="213"/>
      <c r="J80" s="65"/>
      <c r="K80" s="65"/>
      <c r="L80" s="213"/>
      <c r="M80" s="65"/>
      <c r="N80" s="65"/>
    </row>
    <row r="81" spans="7:14" ht="24.75" customHeight="1">
      <c r="G81" s="65"/>
      <c r="H81" s="65"/>
      <c r="I81" s="213"/>
      <c r="J81" s="65"/>
      <c r="K81" s="65"/>
      <c r="L81" s="213"/>
      <c r="M81" s="65"/>
      <c r="N81" s="65"/>
    </row>
    <row r="82" spans="7:14" ht="24.75" customHeight="1">
      <c r="G82" s="65"/>
      <c r="H82" s="65"/>
      <c r="I82" s="213"/>
      <c r="J82" s="65"/>
      <c r="K82" s="65"/>
      <c r="L82" s="213"/>
      <c r="M82" s="65"/>
      <c r="N82" s="65"/>
    </row>
    <row r="83" spans="7:14" ht="24.75" customHeight="1">
      <c r="G83" s="65"/>
      <c r="H83" s="65"/>
      <c r="I83" s="213"/>
      <c r="J83" s="65"/>
      <c r="K83" s="65"/>
      <c r="L83" s="213"/>
      <c r="M83" s="65"/>
      <c r="N83" s="65"/>
    </row>
    <row r="84" spans="7:14" ht="24.75" customHeight="1">
      <c r="G84" s="65"/>
      <c r="H84" s="65"/>
      <c r="I84" s="213"/>
      <c r="J84" s="65"/>
      <c r="K84" s="65"/>
      <c r="L84" s="213"/>
      <c r="M84" s="65"/>
      <c r="N84" s="65"/>
    </row>
    <row r="85" spans="7:14" ht="24.75" customHeight="1">
      <c r="G85" s="65"/>
      <c r="H85" s="65"/>
      <c r="I85" s="213"/>
      <c r="J85" s="65"/>
      <c r="K85" s="65"/>
      <c r="L85" s="213"/>
      <c r="M85" s="65"/>
      <c r="N85" s="65"/>
    </row>
    <row r="86" spans="7:14" ht="24.75" customHeight="1">
      <c r="G86" s="65"/>
      <c r="H86" s="65"/>
      <c r="I86" s="213"/>
      <c r="J86" s="65"/>
      <c r="K86" s="65"/>
      <c r="L86" s="213"/>
      <c r="M86" s="65"/>
      <c r="N86" s="65"/>
    </row>
    <row r="87" spans="7:14" ht="24.75" customHeight="1">
      <c r="G87" s="65"/>
      <c r="H87" s="65"/>
      <c r="I87" s="213"/>
      <c r="J87" s="65"/>
      <c r="K87" s="65"/>
      <c r="L87" s="213"/>
      <c r="M87" s="65"/>
      <c r="N87" s="65"/>
    </row>
    <row r="88" spans="7:14" ht="24.75" customHeight="1">
      <c r="G88" s="65"/>
      <c r="H88" s="65"/>
      <c r="I88" s="213"/>
      <c r="J88" s="65"/>
      <c r="K88" s="65"/>
      <c r="L88" s="213"/>
      <c r="M88" s="65"/>
      <c r="N88" s="65"/>
    </row>
    <row r="89" spans="7:14" ht="24.75" customHeight="1">
      <c r="G89" s="65"/>
      <c r="H89" s="65"/>
      <c r="I89" s="213"/>
      <c r="J89" s="65"/>
      <c r="K89" s="65"/>
      <c r="L89" s="213"/>
      <c r="M89" s="65"/>
      <c r="N89" s="65"/>
    </row>
    <row r="90" spans="7:14" ht="24.75" customHeight="1">
      <c r="G90" s="65"/>
      <c r="H90" s="65"/>
      <c r="I90" s="213"/>
      <c r="J90" s="65"/>
      <c r="K90" s="65"/>
      <c r="L90" s="213"/>
      <c r="M90" s="65"/>
      <c r="N90" s="65"/>
    </row>
    <row r="91" spans="7:14" ht="24.75" customHeight="1">
      <c r="G91" s="65"/>
      <c r="H91" s="65"/>
      <c r="I91" s="213"/>
      <c r="J91" s="65"/>
      <c r="K91" s="65"/>
      <c r="L91" s="213"/>
      <c r="M91" s="65"/>
      <c r="N91" s="65"/>
    </row>
    <row r="92" spans="7:14" ht="24.75" customHeight="1">
      <c r="G92" s="65"/>
      <c r="H92" s="65"/>
      <c r="I92" s="213"/>
      <c r="J92" s="65"/>
      <c r="K92" s="65"/>
      <c r="L92" s="213"/>
      <c r="M92" s="65"/>
      <c r="N92" s="65"/>
    </row>
    <row r="93" spans="7:14" ht="24.75" customHeight="1">
      <c r="G93" s="65"/>
      <c r="H93" s="65"/>
      <c r="I93" s="213"/>
      <c r="J93" s="65"/>
      <c r="K93" s="65"/>
      <c r="L93" s="213"/>
      <c r="M93" s="65"/>
      <c r="N93" s="65"/>
    </row>
    <row r="94" spans="7:14" ht="24.75" customHeight="1">
      <c r="G94" s="65"/>
      <c r="H94" s="65"/>
      <c r="I94" s="213"/>
      <c r="J94" s="65"/>
      <c r="K94" s="65"/>
      <c r="L94" s="213"/>
      <c r="M94" s="65"/>
      <c r="N94" s="65"/>
    </row>
    <row r="95" spans="7:14" ht="24.75" customHeight="1">
      <c r="G95" s="65"/>
      <c r="H95" s="65"/>
      <c r="I95" s="213"/>
      <c r="J95" s="65"/>
      <c r="K95" s="65"/>
      <c r="L95" s="213"/>
      <c r="M95" s="65"/>
      <c r="N95" s="65"/>
    </row>
    <row r="96" spans="7:14" ht="18.75">
      <c r="G96" s="65"/>
      <c r="H96" s="65"/>
      <c r="I96" s="213"/>
      <c r="J96" s="65"/>
      <c r="K96" s="65"/>
      <c r="L96" s="213"/>
      <c r="M96" s="65"/>
      <c r="N96" s="65"/>
    </row>
    <row r="97" spans="7:14" ht="18.75">
      <c r="G97" s="65"/>
      <c r="H97" s="65"/>
      <c r="I97" s="213"/>
      <c r="J97" s="65"/>
      <c r="K97" s="65"/>
      <c r="L97" s="213"/>
      <c r="M97" s="65"/>
      <c r="N97" s="65"/>
    </row>
    <row r="98" spans="7:14" ht="18.75">
      <c r="G98" s="65"/>
      <c r="H98" s="65"/>
      <c r="I98" s="213"/>
      <c r="J98" s="65"/>
      <c r="K98" s="65"/>
      <c r="L98" s="213"/>
      <c r="M98" s="65"/>
      <c r="N98" s="65"/>
    </row>
    <row r="99" spans="7:14" ht="18.75">
      <c r="G99" s="65"/>
      <c r="H99" s="65"/>
      <c r="I99" s="213"/>
      <c r="J99" s="65"/>
      <c r="K99" s="65"/>
      <c r="L99" s="213"/>
      <c r="M99" s="65"/>
      <c r="N99" s="65"/>
    </row>
    <row r="100" spans="7:14" ht="18.75">
      <c r="G100" s="65"/>
      <c r="H100" s="65"/>
      <c r="I100" s="213"/>
      <c r="J100" s="65"/>
      <c r="K100" s="65"/>
      <c r="L100" s="213"/>
      <c r="M100" s="65"/>
      <c r="N100" s="65"/>
    </row>
    <row r="101" spans="7:14" ht="18.75">
      <c r="G101" s="65"/>
      <c r="H101" s="65"/>
      <c r="I101" s="213"/>
      <c r="J101" s="65"/>
      <c r="K101" s="65"/>
      <c r="L101" s="213"/>
      <c r="M101" s="65"/>
      <c r="N101" s="65"/>
    </row>
    <row r="102" spans="7:14" ht="18.75">
      <c r="G102" s="65"/>
      <c r="H102" s="65"/>
      <c r="I102" s="213"/>
      <c r="J102" s="65"/>
      <c r="K102" s="65"/>
      <c r="L102" s="213"/>
      <c r="M102" s="65"/>
      <c r="N102" s="65"/>
    </row>
  </sheetData>
  <sheetProtection/>
  <autoFilter ref="F1:F103"/>
  <mergeCells count="15">
    <mergeCell ref="D1:N1"/>
    <mergeCell ref="B2:N2"/>
    <mergeCell ref="B3:N3"/>
    <mergeCell ref="G5:I5"/>
    <mergeCell ref="J5:L5"/>
    <mergeCell ref="N5:N6"/>
    <mergeCell ref="M5:M6"/>
    <mergeCell ref="B48:F48"/>
    <mergeCell ref="B54:C54"/>
    <mergeCell ref="B53:D53"/>
    <mergeCell ref="D5:F5"/>
    <mergeCell ref="A55:C55"/>
    <mergeCell ref="M29:M31"/>
    <mergeCell ref="C23:L23"/>
    <mergeCell ref="C29:L30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45" r:id="rId1"/>
  <rowBreaks count="1" manualBreakCount="1">
    <brk id="53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R101"/>
  <sheetViews>
    <sheetView view="pageBreakPreview" zoomScale="70" zoomScaleNormal="75" zoomScaleSheetLayoutView="70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L4" activeCellId="2" sqref="F1:F16384 I1:I16384 L1:L16384"/>
    </sheetView>
  </sheetViews>
  <sheetFormatPr defaultColWidth="7.875" defaultRowHeight="12.75"/>
  <cols>
    <col min="1" max="1" width="6.625" style="7" customWidth="1"/>
    <col min="2" max="2" width="56.875" style="8" customWidth="1"/>
    <col min="3" max="3" width="16.875" style="9" customWidth="1"/>
    <col min="4" max="5" width="13.25390625" style="8" customWidth="1"/>
    <col min="6" max="6" width="12.125" style="21" customWidth="1"/>
    <col min="7" max="8" width="12.375" style="8" customWidth="1"/>
    <col min="9" max="9" width="11.875" style="21" customWidth="1"/>
    <col min="10" max="11" width="15.75390625" style="8" customWidth="1"/>
    <col min="12" max="12" width="13.75390625" style="21" customWidth="1"/>
    <col min="13" max="13" width="20.75390625" style="8" hidden="1" customWidth="1"/>
    <col min="14" max="14" width="22.625" style="8" customWidth="1"/>
    <col min="15" max="16384" width="7.875" style="8" customWidth="1"/>
  </cols>
  <sheetData>
    <row r="1" spans="4:14" ht="18.75"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2:14" ht="18.75">
      <c r="B2" s="188" t="s">
        <v>86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2:14" ht="37.5" customHeight="1">
      <c r="B3" s="169" t="s">
        <v>112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2:14" ht="18.75">
      <c r="B4" s="187"/>
      <c r="C4" s="187"/>
      <c r="N4" s="10" t="s">
        <v>48</v>
      </c>
    </row>
    <row r="5" spans="1:14" ht="36.75" customHeight="1">
      <c r="A5" s="11" t="s">
        <v>36</v>
      </c>
      <c r="B5" s="12"/>
      <c r="C5" s="131" t="s">
        <v>1</v>
      </c>
      <c r="D5" s="171" t="s">
        <v>114</v>
      </c>
      <c r="E5" s="172"/>
      <c r="F5" s="173"/>
      <c r="G5" s="182" t="s">
        <v>116</v>
      </c>
      <c r="H5" s="183"/>
      <c r="I5" s="184"/>
      <c r="J5" s="171" t="s">
        <v>117</v>
      </c>
      <c r="K5" s="172"/>
      <c r="L5" s="173"/>
      <c r="M5" s="167" t="s">
        <v>118</v>
      </c>
      <c r="N5" s="167" t="s">
        <v>113</v>
      </c>
    </row>
    <row r="6" spans="1:14" ht="55.5" customHeight="1">
      <c r="A6" s="14" t="s">
        <v>9</v>
      </c>
      <c r="B6" s="133" t="s">
        <v>46</v>
      </c>
      <c r="C6" s="137" t="s">
        <v>107</v>
      </c>
      <c r="D6" s="13" t="s">
        <v>115</v>
      </c>
      <c r="E6" s="13" t="s">
        <v>47</v>
      </c>
      <c r="F6" s="15" t="s">
        <v>0</v>
      </c>
      <c r="G6" s="13" t="s">
        <v>115</v>
      </c>
      <c r="H6" s="13" t="s">
        <v>47</v>
      </c>
      <c r="I6" s="15" t="s">
        <v>0</v>
      </c>
      <c r="J6" s="13" t="s">
        <v>115</v>
      </c>
      <c r="K6" s="13" t="s">
        <v>47</v>
      </c>
      <c r="L6" s="15" t="s">
        <v>0</v>
      </c>
      <c r="M6" s="168"/>
      <c r="N6" s="168"/>
    </row>
    <row r="7" spans="1:14" s="21" customFormat="1" ht="36" customHeight="1">
      <c r="A7" s="15"/>
      <c r="B7" s="16" t="s">
        <v>49</v>
      </c>
      <c r="C7" s="78">
        <f>SUM(C8:C42)</f>
        <v>-2529.8999999999996</v>
      </c>
      <c r="D7" s="19">
        <f>SUM(D8:D42)</f>
        <v>6895.9</v>
      </c>
      <c r="E7" s="19">
        <f>SUM(E8:E42)</f>
        <v>804.9</v>
      </c>
      <c r="F7" s="19">
        <f aca="true" t="shared" si="0" ref="F7:F44">E7/D7*100</f>
        <v>11.672153018460245</v>
      </c>
      <c r="G7" s="19">
        <f>SUM(G8:G42)</f>
        <v>6788.799999999999</v>
      </c>
      <c r="H7" s="19">
        <f>SUM(H8:H42)</f>
        <v>6289.2</v>
      </c>
      <c r="I7" s="19">
        <f>H7/G7*100</f>
        <v>92.64082017440491</v>
      </c>
      <c r="J7" s="19">
        <f>SUM(J8:J42)</f>
        <v>13684.699999999999</v>
      </c>
      <c r="K7" s="19">
        <f>SUM(K8:K42)</f>
        <v>7094.1</v>
      </c>
      <c r="L7" s="19">
        <f>K7/J7*100</f>
        <v>51.83964573574868</v>
      </c>
      <c r="M7" s="20">
        <f>SUM(M8:M42)</f>
        <v>6590.599999999999</v>
      </c>
      <c r="N7" s="20">
        <f>SUM(N8:N42)</f>
        <v>4060.6999999999994</v>
      </c>
    </row>
    <row r="8" spans="1:14" ht="37.5" customHeight="1">
      <c r="A8" s="22">
        <v>1</v>
      </c>
      <c r="B8" s="23" t="s">
        <v>50</v>
      </c>
      <c r="C8" s="24">
        <v>0</v>
      </c>
      <c r="D8" s="25">
        <v>353.2</v>
      </c>
      <c r="E8" s="25">
        <v>0</v>
      </c>
      <c r="F8" s="19">
        <f t="shared" si="0"/>
        <v>0</v>
      </c>
      <c r="G8" s="25">
        <v>341</v>
      </c>
      <c r="H8" s="25">
        <v>405.9</v>
      </c>
      <c r="I8" s="19">
        <f>H8/G8*100</f>
        <v>119.03225806451611</v>
      </c>
      <c r="J8" s="25">
        <f>D8+G8</f>
        <v>694.2</v>
      </c>
      <c r="K8" s="25">
        <f>E8+H8</f>
        <v>405.9</v>
      </c>
      <c r="L8" s="19">
        <f>K8/J8*100</f>
        <v>58.470181503889364</v>
      </c>
      <c r="M8" s="19">
        <f>J8-K8</f>
        <v>288.30000000000007</v>
      </c>
      <c r="N8" s="26">
        <f>C8+J8-K8</f>
        <v>288.30000000000007</v>
      </c>
    </row>
    <row r="9" spans="1:14" ht="36.75" customHeight="1">
      <c r="A9" s="22">
        <v>2</v>
      </c>
      <c r="B9" s="27" t="s">
        <v>81</v>
      </c>
      <c r="C9" s="24">
        <v>-120.5</v>
      </c>
      <c r="D9" s="25">
        <v>191.9</v>
      </c>
      <c r="E9" s="25">
        <v>0</v>
      </c>
      <c r="F9" s="19">
        <f t="shared" si="0"/>
        <v>0</v>
      </c>
      <c r="G9" s="25">
        <v>154</v>
      </c>
      <c r="H9" s="25">
        <v>160.5</v>
      </c>
      <c r="I9" s="19">
        <f aca="true" t="shared" si="1" ref="I9:I21">H9/G9*100</f>
        <v>104.2207792207792</v>
      </c>
      <c r="J9" s="25">
        <f>D9+G9</f>
        <v>345.9</v>
      </c>
      <c r="K9" s="25">
        <f>E9+H9</f>
        <v>160.5</v>
      </c>
      <c r="L9" s="19">
        <f>K9/J9*100</f>
        <v>46.400693842150915</v>
      </c>
      <c r="M9" s="19">
        <f aca="true" t="shared" si="2" ref="M9:M45">J9-K9</f>
        <v>185.39999999999998</v>
      </c>
      <c r="N9" s="26">
        <f>C9+J9-K9</f>
        <v>64.89999999999998</v>
      </c>
    </row>
    <row r="10" spans="1:14" ht="36" customHeight="1">
      <c r="A10" s="22">
        <v>3</v>
      </c>
      <c r="B10" s="28" t="s">
        <v>97</v>
      </c>
      <c r="C10" s="29">
        <v>0</v>
      </c>
      <c r="D10" s="30"/>
      <c r="E10" s="30"/>
      <c r="F10" s="31" t="e">
        <f t="shared" si="0"/>
        <v>#DIV/0!</v>
      </c>
      <c r="G10" s="30"/>
      <c r="H10" s="30"/>
      <c r="I10" s="31" t="e">
        <f t="shared" si="1"/>
        <v>#DIV/0!</v>
      </c>
      <c r="J10" s="25"/>
      <c r="K10" s="25"/>
      <c r="L10" s="31" t="e">
        <f>K10/J10*100</f>
        <v>#DIV/0!</v>
      </c>
      <c r="M10" s="19"/>
      <c r="N10" s="32">
        <f>C10+D10-E10</f>
        <v>0</v>
      </c>
    </row>
    <row r="11" spans="1:14" ht="24" customHeight="1">
      <c r="A11" s="22">
        <v>4</v>
      </c>
      <c r="B11" s="23" t="s">
        <v>108</v>
      </c>
      <c r="C11" s="24"/>
      <c r="D11" s="25"/>
      <c r="E11" s="25"/>
      <c r="F11" s="19"/>
      <c r="G11" s="25"/>
      <c r="H11" s="25"/>
      <c r="I11" s="31" t="e">
        <f t="shared" si="1"/>
        <v>#DIV/0!</v>
      </c>
      <c r="J11" s="25"/>
      <c r="K11" s="25"/>
      <c r="L11" s="31"/>
      <c r="M11" s="19"/>
      <c r="N11" s="26"/>
    </row>
    <row r="12" spans="1:14" s="67" customFormat="1" ht="24" customHeight="1">
      <c r="A12" s="22">
        <v>5</v>
      </c>
      <c r="B12" s="23" t="s">
        <v>79</v>
      </c>
      <c r="C12" s="29">
        <v>0</v>
      </c>
      <c r="D12" s="30"/>
      <c r="E12" s="30"/>
      <c r="F12" s="31" t="e">
        <f t="shared" si="0"/>
        <v>#DIV/0!</v>
      </c>
      <c r="G12" s="25"/>
      <c r="H12" s="25"/>
      <c r="I12" s="19"/>
      <c r="J12" s="25"/>
      <c r="K12" s="25"/>
      <c r="L12" s="19"/>
      <c r="M12" s="19">
        <f t="shared" si="2"/>
        <v>0</v>
      </c>
      <c r="N12" s="26">
        <f>C12+J12-K12</f>
        <v>0</v>
      </c>
    </row>
    <row r="13" spans="1:14" s="67" customFormat="1" ht="24" customHeight="1">
      <c r="A13" s="22">
        <v>6</v>
      </c>
      <c r="B13" s="23" t="s">
        <v>51</v>
      </c>
      <c r="C13" s="24">
        <v>-10.4</v>
      </c>
      <c r="D13" s="25">
        <v>41</v>
      </c>
      <c r="E13" s="25">
        <v>0</v>
      </c>
      <c r="F13" s="19">
        <v>0</v>
      </c>
      <c r="G13" s="25">
        <v>36.3</v>
      </c>
      <c r="H13" s="25">
        <v>30.6</v>
      </c>
      <c r="I13" s="19">
        <f t="shared" si="1"/>
        <v>84.29752066115704</v>
      </c>
      <c r="J13" s="25">
        <f>D13+G13</f>
        <v>77.3</v>
      </c>
      <c r="K13" s="25">
        <f>E13+H13</f>
        <v>30.6</v>
      </c>
      <c r="L13" s="19">
        <f aca="true" t="shared" si="3" ref="L13:L22">K13/J13*100</f>
        <v>39.586028460543346</v>
      </c>
      <c r="M13" s="19">
        <f t="shared" si="2"/>
        <v>46.699999999999996</v>
      </c>
      <c r="N13" s="26">
        <f>C13+J13-K13</f>
        <v>36.29999999999999</v>
      </c>
    </row>
    <row r="14" spans="1:14" ht="24" customHeight="1">
      <c r="A14" s="22">
        <v>7</v>
      </c>
      <c r="B14" s="23" t="s">
        <v>52</v>
      </c>
      <c r="C14" s="29">
        <v>0</v>
      </c>
      <c r="D14" s="30"/>
      <c r="E14" s="30"/>
      <c r="F14" s="31" t="e">
        <f t="shared" si="0"/>
        <v>#DIV/0!</v>
      </c>
      <c r="G14" s="30"/>
      <c r="H14" s="30"/>
      <c r="I14" s="31" t="e">
        <f t="shared" si="1"/>
        <v>#DIV/0!</v>
      </c>
      <c r="J14" s="25"/>
      <c r="K14" s="25"/>
      <c r="L14" s="31" t="e">
        <f t="shared" si="3"/>
        <v>#DIV/0!</v>
      </c>
      <c r="M14" s="19">
        <f t="shared" si="2"/>
        <v>0</v>
      </c>
      <c r="N14" s="26">
        <f>C14+J14-K14</f>
        <v>0</v>
      </c>
    </row>
    <row r="15" spans="1:14" s="67" customFormat="1" ht="24" customHeight="1">
      <c r="A15" s="22">
        <v>8</v>
      </c>
      <c r="B15" s="23" t="s">
        <v>53</v>
      </c>
      <c r="C15" s="24">
        <v>-61.6</v>
      </c>
      <c r="D15" s="25">
        <v>449</v>
      </c>
      <c r="E15" s="25">
        <v>68.6</v>
      </c>
      <c r="F15" s="19">
        <f t="shared" si="0"/>
        <v>15.278396436525613</v>
      </c>
      <c r="G15" s="25">
        <v>441.2</v>
      </c>
      <c r="H15" s="25">
        <v>74</v>
      </c>
      <c r="I15" s="19">
        <f t="shared" si="1"/>
        <v>16.772438803263825</v>
      </c>
      <c r="J15" s="25">
        <f>D15+G15</f>
        <v>890.2</v>
      </c>
      <c r="K15" s="25">
        <f>E15+H15</f>
        <v>142.6</v>
      </c>
      <c r="L15" s="19">
        <f t="shared" si="3"/>
        <v>16.01887216355875</v>
      </c>
      <c r="M15" s="19">
        <f t="shared" si="2"/>
        <v>747.6</v>
      </c>
      <c r="N15" s="26">
        <f>C15+J15-K15</f>
        <v>686</v>
      </c>
    </row>
    <row r="16" spans="1:14" s="67" customFormat="1" ht="24" customHeight="1">
      <c r="A16" s="22">
        <v>9</v>
      </c>
      <c r="B16" s="23" t="s">
        <v>54</v>
      </c>
      <c r="C16" s="29">
        <v>0</v>
      </c>
      <c r="D16" s="30"/>
      <c r="E16" s="30"/>
      <c r="F16" s="31" t="e">
        <f t="shared" si="0"/>
        <v>#DIV/0!</v>
      </c>
      <c r="G16" s="30"/>
      <c r="H16" s="30"/>
      <c r="I16" s="31" t="e">
        <f t="shared" si="1"/>
        <v>#DIV/0!</v>
      </c>
      <c r="J16" s="25"/>
      <c r="K16" s="25"/>
      <c r="L16" s="31" t="e">
        <f t="shared" si="3"/>
        <v>#DIV/0!</v>
      </c>
      <c r="M16" s="19"/>
      <c r="N16" s="32">
        <f>C16+D16-E16</f>
        <v>0</v>
      </c>
    </row>
    <row r="17" spans="1:14" ht="24" customHeight="1">
      <c r="A17" s="22">
        <v>10</v>
      </c>
      <c r="B17" s="28" t="s">
        <v>55</v>
      </c>
      <c r="C17" s="29">
        <v>0</v>
      </c>
      <c r="D17" s="30"/>
      <c r="E17" s="30"/>
      <c r="F17" s="31" t="e">
        <f t="shared" si="0"/>
        <v>#DIV/0!</v>
      </c>
      <c r="G17" s="25"/>
      <c r="H17" s="25"/>
      <c r="I17" s="19"/>
      <c r="J17" s="25"/>
      <c r="K17" s="25"/>
      <c r="L17" s="19"/>
      <c r="M17" s="19">
        <f t="shared" si="2"/>
        <v>0</v>
      </c>
      <c r="N17" s="26">
        <f>C17+J17-K17</f>
        <v>0</v>
      </c>
    </row>
    <row r="18" spans="1:14" ht="24" customHeight="1">
      <c r="A18" s="22">
        <v>11</v>
      </c>
      <c r="B18" s="28" t="s">
        <v>56</v>
      </c>
      <c r="C18" s="29">
        <v>0</v>
      </c>
      <c r="D18" s="30"/>
      <c r="E18" s="30"/>
      <c r="F18" s="31" t="e">
        <f t="shared" si="0"/>
        <v>#DIV/0!</v>
      </c>
      <c r="G18" s="25"/>
      <c r="H18" s="25"/>
      <c r="I18" s="19"/>
      <c r="J18" s="25"/>
      <c r="K18" s="25"/>
      <c r="L18" s="19"/>
      <c r="M18" s="19">
        <f t="shared" si="2"/>
        <v>0</v>
      </c>
      <c r="N18" s="26">
        <f>C18+J18-K18</f>
        <v>0</v>
      </c>
    </row>
    <row r="19" spans="1:14" ht="24" customHeight="1">
      <c r="A19" s="22">
        <v>12</v>
      </c>
      <c r="B19" s="23" t="s">
        <v>80</v>
      </c>
      <c r="C19" s="24">
        <f>-0.1+(-375)</f>
        <v>-375.1</v>
      </c>
      <c r="D19" s="25">
        <f>96.1+394.7</f>
        <v>490.79999999999995</v>
      </c>
      <c r="E19" s="25">
        <v>0</v>
      </c>
      <c r="F19" s="19">
        <f t="shared" si="0"/>
        <v>0</v>
      </c>
      <c r="G19" s="25">
        <f>66.9+702.5</f>
        <v>769.4</v>
      </c>
      <c r="H19" s="25">
        <f>96+1033.5</f>
        <v>1129.5</v>
      </c>
      <c r="I19" s="19">
        <f t="shared" si="1"/>
        <v>146.80270340525087</v>
      </c>
      <c r="J19" s="25">
        <f aca="true" t="shared" si="4" ref="J19:K21">D19+G19</f>
        <v>1260.1999999999998</v>
      </c>
      <c r="K19" s="25">
        <f t="shared" si="4"/>
        <v>1129.5</v>
      </c>
      <c r="L19" s="19">
        <f t="shared" si="3"/>
        <v>89.62863037613079</v>
      </c>
      <c r="M19" s="19">
        <f t="shared" si="2"/>
        <v>130.69999999999982</v>
      </c>
      <c r="N19" s="26">
        <f>C19+J19-K19</f>
        <v>-244.4000000000002</v>
      </c>
    </row>
    <row r="20" spans="1:14" ht="24" customHeight="1">
      <c r="A20" s="22">
        <v>13</v>
      </c>
      <c r="B20" s="28" t="s">
        <v>57</v>
      </c>
      <c r="C20" s="24">
        <v>-1.7</v>
      </c>
      <c r="D20" s="25"/>
      <c r="E20" s="25"/>
      <c r="F20" s="214"/>
      <c r="G20" s="30"/>
      <c r="H20" s="30"/>
      <c r="I20" s="19"/>
      <c r="J20" s="25"/>
      <c r="K20" s="25"/>
      <c r="L20" s="19"/>
      <c r="M20" s="19">
        <f t="shared" si="2"/>
        <v>0</v>
      </c>
      <c r="N20" s="26">
        <f>C20+J20-K20</f>
        <v>-1.7</v>
      </c>
    </row>
    <row r="21" spans="1:14" ht="24" customHeight="1">
      <c r="A21" s="22">
        <v>14</v>
      </c>
      <c r="B21" s="28" t="s">
        <v>58</v>
      </c>
      <c r="C21" s="24">
        <v>-438</v>
      </c>
      <c r="D21" s="25">
        <v>565.3</v>
      </c>
      <c r="E21" s="25">
        <v>0</v>
      </c>
      <c r="F21" s="19">
        <f t="shared" si="0"/>
        <v>0</v>
      </c>
      <c r="G21" s="36">
        <v>463.5</v>
      </c>
      <c r="H21" s="36">
        <v>580</v>
      </c>
      <c r="I21" s="19">
        <f t="shared" si="1"/>
        <v>125.13484358144554</v>
      </c>
      <c r="J21" s="25">
        <f t="shared" si="4"/>
        <v>1028.8</v>
      </c>
      <c r="K21" s="25">
        <f t="shared" si="4"/>
        <v>580</v>
      </c>
      <c r="L21" s="19">
        <f>K21/J21*100</f>
        <v>56.37636080870918</v>
      </c>
      <c r="M21" s="19">
        <f t="shared" si="2"/>
        <v>448.79999999999995</v>
      </c>
      <c r="N21" s="26">
        <f>C21+J21-K21</f>
        <v>10.799999999999955</v>
      </c>
    </row>
    <row r="22" spans="1:14" ht="39.75" customHeight="1">
      <c r="A22" s="22">
        <v>15</v>
      </c>
      <c r="B22" s="28" t="s">
        <v>59</v>
      </c>
      <c r="C22" s="29">
        <v>0</v>
      </c>
      <c r="D22" s="30"/>
      <c r="E22" s="30"/>
      <c r="F22" s="31" t="e">
        <f t="shared" si="0"/>
        <v>#DIV/0!</v>
      </c>
      <c r="G22" s="30"/>
      <c r="H22" s="30"/>
      <c r="I22" s="31" t="e">
        <f>H22/G22*100</f>
        <v>#DIV/0!</v>
      </c>
      <c r="J22" s="30"/>
      <c r="K22" s="30"/>
      <c r="L22" s="31" t="e">
        <f t="shared" si="3"/>
        <v>#DIV/0!</v>
      </c>
      <c r="M22" s="19"/>
      <c r="N22" s="26"/>
    </row>
    <row r="23" spans="1:14" ht="24" customHeight="1">
      <c r="A23" s="22">
        <v>16</v>
      </c>
      <c r="B23" s="28" t="s">
        <v>60</v>
      </c>
      <c r="C23" s="24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7"/>
    </row>
    <row r="24" spans="1:14" ht="36" customHeight="1">
      <c r="A24" s="22">
        <v>17</v>
      </c>
      <c r="B24" s="28" t="s">
        <v>61</v>
      </c>
      <c r="C24" s="24">
        <v>-19.9</v>
      </c>
      <c r="D24" s="25">
        <v>468.9</v>
      </c>
      <c r="E24" s="25">
        <v>0</v>
      </c>
      <c r="F24" s="19">
        <f t="shared" si="0"/>
        <v>0</v>
      </c>
      <c r="G24" s="25">
        <v>443.2</v>
      </c>
      <c r="H24" s="25">
        <v>807.7</v>
      </c>
      <c r="I24" s="19">
        <f>H24/G24*100</f>
        <v>182.24277978339353</v>
      </c>
      <c r="J24" s="25">
        <f>D24+G24</f>
        <v>912.0999999999999</v>
      </c>
      <c r="K24" s="25">
        <f>E24+H24</f>
        <v>807.7</v>
      </c>
      <c r="L24" s="19">
        <f>K24/J24*100</f>
        <v>88.55388663523738</v>
      </c>
      <c r="M24" s="19">
        <f t="shared" si="2"/>
        <v>104.39999999999986</v>
      </c>
      <c r="N24" s="26">
        <f>C24+J24-K24</f>
        <v>84.49999999999989</v>
      </c>
    </row>
    <row r="25" spans="1:14" ht="24" customHeight="1">
      <c r="A25" s="22">
        <v>18</v>
      </c>
      <c r="B25" s="23" t="s">
        <v>62</v>
      </c>
      <c r="C25" s="24">
        <v>-42.5</v>
      </c>
      <c r="D25" s="25">
        <v>199.4</v>
      </c>
      <c r="E25" s="25">
        <v>33.6</v>
      </c>
      <c r="F25" s="19">
        <f t="shared" si="0"/>
        <v>16.850551654964896</v>
      </c>
      <c r="G25" s="36">
        <v>183.7</v>
      </c>
      <c r="H25" s="36">
        <v>369.6</v>
      </c>
      <c r="I25" s="218">
        <f>H25/G25*100</f>
        <v>201.1976047904192</v>
      </c>
      <c r="J25" s="25">
        <f>D25+G25</f>
        <v>383.1</v>
      </c>
      <c r="K25" s="25">
        <f>E25+H25</f>
        <v>403.20000000000005</v>
      </c>
      <c r="L25" s="19">
        <f>K25/J25*100</f>
        <v>105.2466718872357</v>
      </c>
      <c r="M25" s="19">
        <f t="shared" si="2"/>
        <v>-20.100000000000023</v>
      </c>
      <c r="N25" s="26">
        <f>C25+J25-K25</f>
        <v>-62.60000000000002</v>
      </c>
    </row>
    <row r="26" spans="1:14" s="67" customFormat="1" ht="24" customHeight="1">
      <c r="A26" s="22">
        <v>19</v>
      </c>
      <c r="B26" s="28" t="s">
        <v>63</v>
      </c>
      <c r="C26" s="29">
        <v>0</v>
      </c>
      <c r="D26" s="30"/>
      <c r="E26" s="30"/>
      <c r="F26" s="31" t="e">
        <f t="shared" si="0"/>
        <v>#DIV/0!</v>
      </c>
      <c r="G26" s="25"/>
      <c r="H26" s="25"/>
      <c r="I26" s="19"/>
      <c r="J26" s="25"/>
      <c r="K26" s="25"/>
      <c r="L26" s="19"/>
      <c r="M26" s="19">
        <f t="shared" si="2"/>
        <v>0</v>
      </c>
      <c r="N26" s="26">
        <f>C26+J26-K26</f>
        <v>0</v>
      </c>
    </row>
    <row r="27" spans="1:14" ht="39" customHeight="1">
      <c r="A27" s="22">
        <v>20</v>
      </c>
      <c r="B27" s="28" t="s">
        <v>94</v>
      </c>
      <c r="C27" s="29">
        <v>0</v>
      </c>
      <c r="D27" s="25"/>
      <c r="E27" s="25"/>
      <c r="F27" s="19"/>
      <c r="G27" s="25"/>
      <c r="H27" s="25"/>
      <c r="I27" s="19"/>
      <c r="J27" s="25"/>
      <c r="K27" s="25"/>
      <c r="L27" s="19"/>
      <c r="M27" s="19"/>
      <c r="N27" s="26"/>
    </row>
    <row r="28" spans="1:14" ht="39" customHeight="1">
      <c r="A28" s="22">
        <v>21</v>
      </c>
      <c r="B28" s="23" t="s">
        <v>64</v>
      </c>
      <c r="C28" s="29">
        <v>0</v>
      </c>
      <c r="D28" s="30"/>
      <c r="E28" s="30"/>
      <c r="F28" s="31" t="e">
        <f t="shared" si="0"/>
        <v>#DIV/0!</v>
      </c>
      <c r="G28" s="30"/>
      <c r="H28" s="30"/>
      <c r="I28" s="31" t="e">
        <f>H28/G28*100</f>
        <v>#DIV/0!</v>
      </c>
      <c r="J28" s="25"/>
      <c r="K28" s="25"/>
      <c r="L28" s="19"/>
      <c r="M28" s="19"/>
      <c r="N28" s="26"/>
    </row>
    <row r="29" spans="1:14" ht="24" customHeight="1">
      <c r="A29" s="22">
        <v>22</v>
      </c>
      <c r="B29" s="23" t="s">
        <v>65</v>
      </c>
      <c r="C29" s="37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2"/>
    </row>
    <row r="30" spans="1:14" ht="24" customHeight="1">
      <c r="A30" s="22">
        <v>23</v>
      </c>
      <c r="B30" s="28" t="s">
        <v>66</v>
      </c>
      <c r="C30" s="40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5"/>
    </row>
    <row r="31" spans="1:14" ht="24" customHeight="1">
      <c r="A31" s="22">
        <v>24</v>
      </c>
      <c r="B31" s="28" t="s">
        <v>67</v>
      </c>
      <c r="C31" s="42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9"/>
    </row>
    <row r="32" spans="1:14" ht="24" customHeight="1">
      <c r="A32" s="22">
        <v>25</v>
      </c>
      <c r="B32" s="28" t="s">
        <v>87</v>
      </c>
      <c r="C32" s="24"/>
      <c r="D32" s="30"/>
      <c r="E32" s="30"/>
      <c r="F32" s="31" t="e">
        <f t="shared" si="0"/>
        <v>#DIV/0!</v>
      </c>
      <c r="G32" s="30"/>
      <c r="H32" s="30"/>
      <c r="I32" s="31"/>
      <c r="J32" s="30"/>
      <c r="K32" s="30"/>
      <c r="L32" s="31"/>
      <c r="M32" s="19"/>
      <c r="N32" s="45"/>
    </row>
    <row r="33" spans="1:14" ht="24" customHeight="1">
      <c r="A33" s="22"/>
      <c r="B33" s="28" t="s">
        <v>106</v>
      </c>
      <c r="C33" s="24">
        <v>-672.5</v>
      </c>
      <c r="D33" s="25">
        <v>766.8</v>
      </c>
      <c r="E33" s="25">
        <v>535.8</v>
      </c>
      <c r="F33" s="19">
        <v>0</v>
      </c>
      <c r="G33" s="25">
        <v>546.8</v>
      </c>
      <c r="H33" s="25">
        <v>528.8</v>
      </c>
      <c r="I33" s="19">
        <f aca="true" t="shared" si="5" ref="I33:I45">H33/G33*100</f>
        <v>96.70811997073885</v>
      </c>
      <c r="J33" s="25">
        <f aca="true" t="shared" si="6" ref="J33:K42">D33+G33</f>
        <v>1313.6</v>
      </c>
      <c r="K33" s="25">
        <f t="shared" si="6"/>
        <v>1064.6</v>
      </c>
      <c r="L33" s="19">
        <f>K33/J33*100</f>
        <v>81.04445797807551</v>
      </c>
      <c r="M33" s="19">
        <f t="shared" si="2"/>
        <v>249</v>
      </c>
      <c r="N33" s="26">
        <f aca="true" t="shared" si="7" ref="N33:N42">C33+J33-K33</f>
        <v>-423.5</v>
      </c>
    </row>
    <row r="34" spans="1:14" ht="24.75" customHeight="1">
      <c r="A34" s="46"/>
      <c r="B34" s="28" t="s">
        <v>69</v>
      </c>
      <c r="C34" s="24">
        <v>0</v>
      </c>
      <c r="D34" s="25">
        <v>459.7</v>
      </c>
      <c r="E34" s="25">
        <v>0</v>
      </c>
      <c r="F34" s="19">
        <f t="shared" si="0"/>
        <v>0</v>
      </c>
      <c r="G34" s="25">
        <v>752.8</v>
      </c>
      <c r="H34" s="25">
        <v>0</v>
      </c>
      <c r="I34" s="19">
        <f t="shared" si="5"/>
        <v>0</v>
      </c>
      <c r="J34" s="25">
        <f>D34+G34</f>
        <v>1212.5</v>
      </c>
      <c r="K34" s="25">
        <f>E34+H34</f>
        <v>0</v>
      </c>
      <c r="L34" s="19">
        <f>K34/J34*100</f>
        <v>0</v>
      </c>
      <c r="M34" s="19">
        <f t="shared" si="2"/>
        <v>1212.5</v>
      </c>
      <c r="N34" s="26">
        <f t="shared" si="7"/>
        <v>1212.5</v>
      </c>
    </row>
    <row r="35" spans="1:14" ht="37.5" customHeight="1">
      <c r="A35" s="22">
        <v>26</v>
      </c>
      <c r="B35" s="28" t="s">
        <v>95</v>
      </c>
      <c r="C35" s="24">
        <v>0.1</v>
      </c>
      <c r="D35" s="25">
        <v>95.2</v>
      </c>
      <c r="E35" s="25">
        <v>166.9</v>
      </c>
      <c r="F35" s="19">
        <f t="shared" si="0"/>
        <v>175.31512605042016</v>
      </c>
      <c r="G35" s="25">
        <v>306.5</v>
      </c>
      <c r="H35" s="25">
        <v>341.1</v>
      </c>
      <c r="I35" s="19">
        <f t="shared" si="5"/>
        <v>111.28874388254486</v>
      </c>
      <c r="J35" s="25">
        <f t="shared" si="6"/>
        <v>401.7</v>
      </c>
      <c r="K35" s="25">
        <f t="shared" si="6"/>
        <v>508</v>
      </c>
      <c r="L35" s="19">
        <f aca="true" t="shared" si="8" ref="L35:L44">K35/J35*100</f>
        <v>126.46253422952452</v>
      </c>
      <c r="M35" s="19">
        <f t="shared" si="2"/>
        <v>-106.30000000000001</v>
      </c>
      <c r="N35" s="26">
        <f t="shared" si="7"/>
        <v>-106.19999999999999</v>
      </c>
    </row>
    <row r="36" spans="1:14" ht="24" customHeight="1">
      <c r="A36" s="22">
        <v>27</v>
      </c>
      <c r="B36" s="23" t="s">
        <v>70</v>
      </c>
      <c r="C36" s="24">
        <v>-428.2</v>
      </c>
      <c r="D36" s="25">
        <v>450.5</v>
      </c>
      <c r="E36" s="25">
        <v>0</v>
      </c>
      <c r="F36" s="19">
        <f t="shared" si="0"/>
        <v>0</v>
      </c>
      <c r="G36" s="25">
        <v>376.9</v>
      </c>
      <c r="H36" s="25">
        <v>636.9</v>
      </c>
      <c r="I36" s="19">
        <f t="shared" si="5"/>
        <v>168.9838153356328</v>
      </c>
      <c r="J36" s="25">
        <f t="shared" si="6"/>
        <v>827.4</v>
      </c>
      <c r="K36" s="25">
        <f t="shared" si="6"/>
        <v>636.9</v>
      </c>
      <c r="L36" s="19">
        <f t="shared" si="8"/>
        <v>76.97606961566352</v>
      </c>
      <c r="M36" s="19">
        <f t="shared" si="2"/>
        <v>190.5</v>
      </c>
      <c r="N36" s="26">
        <f t="shared" si="7"/>
        <v>-237.7</v>
      </c>
    </row>
    <row r="37" spans="1:14" ht="24" customHeight="1">
      <c r="A37" s="22">
        <v>28</v>
      </c>
      <c r="B37" s="28" t="s">
        <v>71</v>
      </c>
      <c r="C37" s="24">
        <f>-515.1-(-438)</f>
        <v>-77.10000000000002</v>
      </c>
      <c r="D37" s="25">
        <f>1120.5-565.3</f>
        <v>555.2</v>
      </c>
      <c r="E37" s="25">
        <v>0</v>
      </c>
      <c r="F37" s="19">
        <f t="shared" si="0"/>
        <v>0</v>
      </c>
      <c r="G37" s="25">
        <f>935-463.5</f>
        <v>471.5</v>
      </c>
      <c r="H37" s="25">
        <f>784.8-580</f>
        <v>204.79999999999995</v>
      </c>
      <c r="I37" s="19">
        <f t="shared" si="5"/>
        <v>43.43584305408271</v>
      </c>
      <c r="J37" s="25">
        <f t="shared" si="6"/>
        <v>1026.7</v>
      </c>
      <c r="K37" s="25">
        <f t="shared" si="6"/>
        <v>204.79999999999995</v>
      </c>
      <c r="L37" s="19">
        <f t="shared" si="8"/>
        <v>19.947404305055024</v>
      </c>
      <c r="M37" s="19">
        <f t="shared" si="2"/>
        <v>821.9000000000001</v>
      </c>
      <c r="N37" s="26">
        <f t="shared" si="7"/>
        <v>744.8000000000001</v>
      </c>
    </row>
    <row r="38" spans="1:14" ht="24" customHeight="1">
      <c r="A38" s="22">
        <v>29</v>
      </c>
      <c r="B38" s="28" t="s">
        <v>72</v>
      </c>
      <c r="C38" s="24">
        <v>-257.6</v>
      </c>
      <c r="D38" s="25">
        <v>419.3</v>
      </c>
      <c r="E38" s="25">
        <v>0</v>
      </c>
      <c r="F38" s="19">
        <f t="shared" si="0"/>
        <v>0</v>
      </c>
      <c r="G38" s="25">
        <v>341.1</v>
      </c>
      <c r="H38" s="25">
        <v>315.7</v>
      </c>
      <c r="I38" s="19">
        <f t="shared" si="5"/>
        <v>92.55350337144532</v>
      </c>
      <c r="J38" s="25">
        <f t="shared" si="6"/>
        <v>760.4000000000001</v>
      </c>
      <c r="K38" s="25">
        <f t="shared" si="6"/>
        <v>315.7</v>
      </c>
      <c r="L38" s="19">
        <f t="shared" si="8"/>
        <v>41.51762230405049</v>
      </c>
      <c r="M38" s="19">
        <f t="shared" si="2"/>
        <v>444.7000000000001</v>
      </c>
      <c r="N38" s="26">
        <f t="shared" si="7"/>
        <v>187.10000000000008</v>
      </c>
    </row>
    <row r="39" spans="1:14" s="67" customFormat="1" ht="37.5" customHeight="1">
      <c r="A39" s="22">
        <v>30</v>
      </c>
      <c r="B39" s="28" t="s">
        <v>96</v>
      </c>
      <c r="C39" s="24">
        <v>-30.7</v>
      </c>
      <c r="D39" s="25">
        <v>883.9</v>
      </c>
      <c r="E39" s="25">
        <v>0</v>
      </c>
      <c r="F39" s="19">
        <f t="shared" si="0"/>
        <v>0</v>
      </c>
      <c r="G39" s="25">
        <v>693.9</v>
      </c>
      <c r="H39" s="25">
        <v>199.8</v>
      </c>
      <c r="I39" s="19">
        <f t="shared" si="5"/>
        <v>28.793774319066152</v>
      </c>
      <c r="J39" s="25">
        <f t="shared" si="6"/>
        <v>1577.8</v>
      </c>
      <c r="K39" s="25">
        <f t="shared" si="6"/>
        <v>199.8</v>
      </c>
      <c r="L39" s="19">
        <f t="shared" si="8"/>
        <v>12.663201926733429</v>
      </c>
      <c r="M39" s="19">
        <f t="shared" si="2"/>
        <v>1378</v>
      </c>
      <c r="N39" s="26">
        <f t="shared" si="7"/>
        <v>1347.3</v>
      </c>
    </row>
    <row r="40" spans="1:14" ht="24.75" customHeight="1">
      <c r="A40" s="22">
        <v>31</v>
      </c>
      <c r="B40" s="28" t="s">
        <v>73</v>
      </c>
      <c r="C40" s="29">
        <v>0</v>
      </c>
      <c r="D40" s="30"/>
      <c r="E40" s="30"/>
      <c r="F40" s="31" t="e">
        <f t="shared" si="0"/>
        <v>#DIV/0!</v>
      </c>
      <c r="G40" s="25"/>
      <c r="H40" s="25"/>
      <c r="I40" s="214" t="e">
        <f t="shared" si="5"/>
        <v>#DIV/0!</v>
      </c>
      <c r="J40" s="25"/>
      <c r="K40" s="25"/>
      <c r="L40" s="19"/>
      <c r="M40" s="19"/>
      <c r="N40" s="26"/>
    </row>
    <row r="41" spans="1:14" s="67" customFormat="1" ht="36.75" customHeight="1">
      <c r="A41" s="22">
        <v>32</v>
      </c>
      <c r="B41" s="23" t="s">
        <v>74</v>
      </c>
      <c r="C41" s="29"/>
      <c r="D41" s="30"/>
      <c r="E41" s="30"/>
      <c r="F41" s="31" t="e">
        <f t="shared" si="0"/>
        <v>#DIV/0!</v>
      </c>
      <c r="G41" s="102"/>
      <c r="H41" s="102"/>
      <c r="I41" s="117"/>
      <c r="J41" s="25"/>
      <c r="K41" s="25"/>
      <c r="L41" s="117"/>
      <c r="M41" s="19"/>
      <c r="N41" s="26"/>
    </row>
    <row r="42" spans="1:14" s="67" customFormat="1" ht="19.5" customHeight="1">
      <c r="A42" s="22">
        <v>33</v>
      </c>
      <c r="B42" s="28" t="s">
        <v>75</v>
      </c>
      <c r="C42" s="24">
        <v>5.8</v>
      </c>
      <c r="D42" s="25">
        <v>505.8</v>
      </c>
      <c r="E42" s="25">
        <v>0</v>
      </c>
      <c r="F42" s="19">
        <f t="shared" si="0"/>
        <v>0</v>
      </c>
      <c r="G42" s="25">
        <v>467</v>
      </c>
      <c r="H42" s="25">
        <v>504.3</v>
      </c>
      <c r="I42" s="19">
        <f t="shared" si="5"/>
        <v>107.98715203426124</v>
      </c>
      <c r="J42" s="25">
        <f t="shared" si="6"/>
        <v>972.8</v>
      </c>
      <c r="K42" s="25">
        <f t="shared" si="6"/>
        <v>504.3</v>
      </c>
      <c r="L42" s="19">
        <f t="shared" si="8"/>
        <v>51.84004934210527</v>
      </c>
      <c r="M42" s="19">
        <f t="shared" si="2"/>
        <v>468.49999999999994</v>
      </c>
      <c r="N42" s="26">
        <f t="shared" si="7"/>
        <v>474.2999999999999</v>
      </c>
    </row>
    <row r="43" spans="1:14" s="21" customFormat="1" ht="24.75" customHeight="1">
      <c r="A43" s="47">
        <v>34</v>
      </c>
      <c r="B43" s="48" t="s">
        <v>76</v>
      </c>
      <c r="C43" s="49">
        <f>C44+C45</f>
        <v>-4171</v>
      </c>
      <c r="D43" s="49">
        <f>D44+D45</f>
        <v>18857.7</v>
      </c>
      <c r="E43" s="49">
        <f>E44+E45</f>
        <v>63</v>
      </c>
      <c r="F43" s="19">
        <f t="shared" si="0"/>
        <v>0.33408103851477117</v>
      </c>
      <c r="G43" s="49">
        <f>G44+G45</f>
        <v>17156.8</v>
      </c>
      <c r="H43" s="49">
        <f>H44+H45</f>
        <v>12065.7</v>
      </c>
      <c r="I43" s="19">
        <f>H43/G43*100</f>
        <v>70.32605147813112</v>
      </c>
      <c r="J43" s="49">
        <f>J44+J45</f>
        <v>36014.5</v>
      </c>
      <c r="K43" s="49">
        <f>K44+K45</f>
        <v>12128.7</v>
      </c>
      <c r="L43" s="19">
        <f t="shared" si="8"/>
        <v>33.677268877813106</v>
      </c>
      <c r="M43" s="50">
        <f>M44+M45</f>
        <v>23885.8</v>
      </c>
      <c r="N43" s="50">
        <f>N44+N45</f>
        <v>19714.8</v>
      </c>
    </row>
    <row r="44" spans="1:14" s="21" customFormat="1" ht="24.75" customHeight="1">
      <c r="A44" s="47"/>
      <c r="B44" s="23" t="s">
        <v>77</v>
      </c>
      <c r="C44" s="24">
        <v>-4171</v>
      </c>
      <c r="D44" s="25">
        <v>17640</v>
      </c>
      <c r="E44" s="25">
        <v>63</v>
      </c>
      <c r="F44" s="19">
        <f t="shared" si="0"/>
        <v>0.35714285714285715</v>
      </c>
      <c r="G44" s="25">
        <v>15781</v>
      </c>
      <c r="H44" s="25">
        <v>10848</v>
      </c>
      <c r="I44" s="19">
        <f t="shared" si="5"/>
        <v>68.74089094480705</v>
      </c>
      <c r="J44" s="25">
        <f>D44+G44</f>
        <v>33421</v>
      </c>
      <c r="K44" s="25">
        <f>E44+H44</f>
        <v>10911</v>
      </c>
      <c r="L44" s="19">
        <f t="shared" si="8"/>
        <v>32.64713802698902</v>
      </c>
      <c r="M44" s="19">
        <f t="shared" si="2"/>
        <v>22510</v>
      </c>
      <c r="N44" s="26">
        <f>C44+J44-K44</f>
        <v>18339</v>
      </c>
    </row>
    <row r="45" spans="1:14" s="21" customFormat="1" ht="24.75" customHeight="1">
      <c r="A45" s="47"/>
      <c r="B45" s="23" t="s">
        <v>69</v>
      </c>
      <c r="C45" s="24">
        <v>0</v>
      </c>
      <c r="D45" s="25">
        <v>1217.7</v>
      </c>
      <c r="E45" s="25">
        <v>0</v>
      </c>
      <c r="F45" s="19">
        <f>E45/D45*100</f>
        <v>0</v>
      </c>
      <c r="G45" s="36">
        <v>1375.8</v>
      </c>
      <c r="H45" s="36">
        <v>1217.7</v>
      </c>
      <c r="I45" s="19">
        <f t="shared" si="5"/>
        <v>88.50850414304405</v>
      </c>
      <c r="J45" s="25">
        <f>D45+G45</f>
        <v>2593.5</v>
      </c>
      <c r="K45" s="25">
        <f>E45+H45</f>
        <v>1217.7</v>
      </c>
      <c r="L45" s="19">
        <f>K45/J45*100</f>
        <v>46.95199537304801</v>
      </c>
      <c r="M45" s="19">
        <f t="shared" si="2"/>
        <v>1375.8</v>
      </c>
      <c r="N45" s="26">
        <f>C45+J45-K45</f>
        <v>1375.8</v>
      </c>
    </row>
    <row r="46" spans="1:14" s="21" customFormat="1" ht="24.75" customHeight="1">
      <c r="A46" s="47"/>
      <c r="B46" s="48" t="s">
        <v>78</v>
      </c>
      <c r="C46" s="49">
        <f>C7+C43</f>
        <v>-6700.9</v>
      </c>
      <c r="D46" s="26">
        <f>D7+D43</f>
        <v>25753.6</v>
      </c>
      <c r="E46" s="26">
        <f>E7+E43</f>
        <v>867.9</v>
      </c>
      <c r="F46" s="19">
        <f>E46/D46*100</f>
        <v>3.3700142892644136</v>
      </c>
      <c r="G46" s="26">
        <f>G7+G43</f>
        <v>23945.6</v>
      </c>
      <c r="H46" s="26">
        <f>H7+H43</f>
        <v>18354.9</v>
      </c>
      <c r="I46" s="19">
        <f>H46/G46*100</f>
        <v>76.65249565682214</v>
      </c>
      <c r="J46" s="26">
        <f>J7+J43</f>
        <v>49699.2</v>
      </c>
      <c r="K46" s="26">
        <f>K7+K43</f>
        <v>19222.800000000003</v>
      </c>
      <c r="L46" s="19">
        <f>K46/J46*100</f>
        <v>38.678288584122086</v>
      </c>
      <c r="M46" s="50">
        <f>M7+M43</f>
        <v>30476.399999999998</v>
      </c>
      <c r="N46" s="50">
        <f>N7+N43</f>
        <v>23775.5</v>
      </c>
    </row>
    <row r="47" spans="1:14" s="21" customFormat="1" ht="24.75" customHeight="1">
      <c r="A47" s="51"/>
      <c r="B47" s="52"/>
      <c r="C47" s="53"/>
      <c r="D47" s="54"/>
      <c r="E47" s="55"/>
      <c r="F47" s="55"/>
      <c r="G47" s="65"/>
      <c r="H47" s="65"/>
      <c r="I47" s="213"/>
      <c r="J47" s="65"/>
      <c r="K47" s="65"/>
      <c r="L47" s="213"/>
      <c r="M47" s="65"/>
      <c r="N47" s="65"/>
    </row>
    <row r="48" spans="1:14" s="21" customFormat="1" ht="18.75" customHeight="1" hidden="1">
      <c r="A48" s="47"/>
      <c r="B48" s="21" t="s">
        <v>82</v>
      </c>
      <c r="C48" s="53"/>
      <c r="D48" s="55"/>
      <c r="E48" s="55"/>
      <c r="F48" s="55"/>
      <c r="G48" s="65"/>
      <c r="H48" s="65"/>
      <c r="I48" s="213"/>
      <c r="J48" s="65"/>
      <c r="K48" s="65"/>
      <c r="L48" s="213"/>
      <c r="M48" s="65"/>
      <c r="N48" s="65"/>
    </row>
    <row r="49" spans="1:14" s="21" customFormat="1" ht="15.75" customHeight="1" hidden="1">
      <c r="A49" s="51"/>
      <c r="C49" s="53"/>
      <c r="D49" s="82"/>
      <c r="E49" s="55"/>
      <c r="F49" s="55"/>
      <c r="G49" s="55"/>
      <c r="H49" s="55"/>
      <c r="I49" s="55"/>
      <c r="J49" s="55"/>
      <c r="K49" s="55"/>
      <c r="L49" s="55"/>
      <c r="M49" s="55"/>
      <c r="N49" s="57"/>
    </row>
    <row r="50" spans="1:14" s="21" customFormat="1" ht="18.75" customHeight="1" hidden="1">
      <c r="A50" s="47"/>
      <c r="B50" s="21" t="s">
        <v>83</v>
      </c>
      <c r="C50" s="53"/>
      <c r="D50" s="82"/>
      <c r="E50" s="55"/>
      <c r="F50" s="55"/>
      <c r="G50" s="55"/>
      <c r="H50" s="55"/>
      <c r="I50" s="55"/>
      <c r="J50" s="55"/>
      <c r="K50" s="55"/>
      <c r="L50" s="55"/>
      <c r="M50" s="55"/>
      <c r="N50" s="57"/>
    </row>
    <row r="51" spans="1:14" s="5" customFormat="1" ht="43.5" customHeight="1">
      <c r="A51" s="1"/>
      <c r="B51" s="185" t="s">
        <v>102</v>
      </c>
      <c r="C51" s="185"/>
      <c r="D51" s="185"/>
      <c r="E51" s="2"/>
      <c r="F51" s="212"/>
      <c r="G51" s="56"/>
      <c r="H51" s="56"/>
      <c r="I51" s="59"/>
      <c r="J51" s="56"/>
      <c r="K51" s="56"/>
      <c r="L51" s="59"/>
      <c r="M51" s="56"/>
      <c r="N51" s="56"/>
    </row>
    <row r="52" spans="2:14" ht="42" customHeight="1" hidden="1">
      <c r="B52" s="199" t="s">
        <v>38</v>
      </c>
      <c r="C52" s="199"/>
      <c r="D52" s="21"/>
      <c r="E52" s="21"/>
      <c r="G52" s="3"/>
      <c r="H52" s="3"/>
      <c r="I52" s="212"/>
      <c r="J52" s="2"/>
      <c r="K52" s="2"/>
      <c r="L52" s="212"/>
      <c r="M52" s="3"/>
      <c r="N52" s="4" t="s">
        <v>101</v>
      </c>
    </row>
    <row r="53" spans="1:18" ht="73.5" customHeight="1" hidden="1">
      <c r="A53" s="186" t="s">
        <v>100</v>
      </c>
      <c r="B53" s="186"/>
      <c r="C53" s="186"/>
      <c r="D53" s="58"/>
      <c r="E53" s="58"/>
      <c r="F53" s="59"/>
      <c r="G53" s="65"/>
      <c r="H53" s="65"/>
      <c r="I53" s="213"/>
      <c r="J53" s="65"/>
      <c r="K53" s="65"/>
      <c r="L53" s="213"/>
      <c r="M53" s="65"/>
      <c r="N53" s="65"/>
      <c r="O53" s="56"/>
      <c r="P53" s="56"/>
      <c r="Q53" s="59"/>
      <c r="R53" s="61" t="s">
        <v>98</v>
      </c>
    </row>
    <row r="54" spans="3:14" ht="45" customHeight="1">
      <c r="C54" s="85"/>
      <c r="D54" s="86"/>
      <c r="E54" s="86"/>
      <c r="F54" s="217"/>
      <c r="G54" s="25">
        <v>142.7</v>
      </c>
      <c r="H54" s="25">
        <v>103.3</v>
      </c>
      <c r="I54" s="19"/>
      <c r="J54" s="25">
        <v>1154.2</v>
      </c>
      <c r="K54" s="25">
        <v>1213.3</v>
      </c>
      <c r="L54" s="19"/>
      <c r="M54" s="25"/>
      <c r="N54" s="26">
        <f>C54+D54-E54</f>
        <v>0</v>
      </c>
    </row>
    <row r="55" spans="2:14" ht="18.75">
      <c r="B55" s="8" t="s">
        <v>39</v>
      </c>
      <c r="C55" s="66">
        <v>0</v>
      </c>
      <c r="D55" s="25"/>
      <c r="E55" s="25"/>
      <c r="F55" s="19"/>
      <c r="G55" s="65"/>
      <c r="H55" s="65"/>
      <c r="I55" s="213"/>
      <c r="J55" s="65">
        <v>1415.7</v>
      </c>
      <c r="K55" s="65">
        <v>1436.1</v>
      </c>
      <c r="L55" s="213"/>
      <c r="M55" s="65"/>
      <c r="N55" s="26">
        <f>C55+D55-E55</f>
        <v>0</v>
      </c>
    </row>
    <row r="56" spans="2:14" ht="18.75">
      <c r="B56" s="8" t="s">
        <v>40</v>
      </c>
      <c r="C56" s="62">
        <v>-3.7</v>
      </c>
      <c r="D56" s="56">
        <v>552.6</v>
      </c>
      <c r="E56" s="56">
        <v>564.7</v>
      </c>
      <c r="F56" s="59"/>
      <c r="G56" s="65"/>
      <c r="H56" s="65"/>
      <c r="I56" s="213"/>
      <c r="J56" s="65"/>
      <c r="K56" s="65"/>
      <c r="L56" s="213"/>
      <c r="M56" s="65"/>
      <c r="N56" s="65"/>
    </row>
    <row r="57" spans="3:14" ht="24.75" customHeight="1">
      <c r="C57" s="62"/>
      <c r="D57" s="56"/>
      <c r="E57" s="56"/>
      <c r="F57" s="59"/>
      <c r="G57" s="65"/>
      <c r="H57" s="65"/>
      <c r="I57" s="213"/>
      <c r="J57" s="65"/>
      <c r="K57" s="65"/>
      <c r="L57" s="213"/>
      <c r="M57" s="65"/>
      <c r="N57" s="65"/>
    </row>
    <row r="58" spans="3:14" ht="24.75" customHeight="1">
      <c r="C58" s="62"/>
      <c r="D58" s="56"/>
      <c r="E58" s="56"/>
      <c r="F58" s="59"/>
      <c r="G58" s="65"/>
      <c r="H58" s="65"/>
      <c r="I58" s="213"/>
      <c r="J58" s="65"/>
      <c r="K58" s="65"/>
      <c r="L58" s="213"/>
      <c r="M58" s="65"/>
      <c r="N58" s="65">
        <f>N9+N17+N20+N26+N36+N38+N40</f>
        <v>12.60000000000008</v>
      </c>
    </row>
    <row r="59" spans="2:14" ht="18.75">
      <c r="B59" s="8" t="s">
        <v>41</v>
      </c>
      <c r="C59" s="62">
        <f>C9+C17+C20+C26+C36+C38+C40</f>
        <v>-808</v>
      </c>
      <c r="D59" s="56"/>
      <c r="E59" s="56"/>
      <c r="F59" s="59"/>
      <c r="G59" s="65"/>
      <c r="H59" s="65"/>
      <c r="I59" s="213"/>
      <c r="J59" s="65"/>
      <c r="K59" s="65"/>
      <c r="L59" s="213"/>
      <c r="M59" s="65"/>
      <c r="N59" s="65">
        <f>N11+N13+N14+N16+N18+N19+N25</f>
        <v>-270.7000000000003</v>
      </c>
    </row>
    <row r="60" spans="2:14" ht="18.75">
      <c r="B60" s="8" t="s">
        <v>42</v>
      </c>
      <c r="C60" s="62">
        <f>C11+C13+C14+C16+C18+C19+C25</f>
        <v>-428</v>
      </c>
      <c r="D60" s="56"/>
      <c r="E60" s="56"/>
      <c r="F60" s="59"/>
      <c r="G60" s="65"/>
      <c r="H60" s="65"/>
      <c r="I60" s="213"/>
      <c r="J60" s="65"/>
      <c r="K60" s="65"/>
      <c r="L60" s="213"/>
      <c r="M60" s="65"/>
      <c r="N60" s="65"/>
    </row>
    <row r="61" spans="7:14" ht="24.75" customHeight="1">
      <c r="G61" s="65"/>
      <c r="H61" s="65"/>
      <c r="I61" s="213"/>
      <c r="J61" s="65"/>
      <c r="K61" s="65"/>
      <c r="L61" s="213"/>
      <c r="M61" s="65"/>
      <c r="N61" s="65"/>
    </row>
    <row r="62" spans="7:14" ht="24.75" customHeight="1">
      <c r="G62" s="65"/>
      <c r="H62" s="65"/>
      <c r="I62" s="213"/>
      <c r="J62" s="65"/>
      <c r="K62" s="65"/>
      <c r="L62" s="213"/>
      <c r="M62" s="65"/>
      <c r="N62" s="65"/>
    </row>
    <row r="63" spans="7:14" ht="24.75" customHeight="1">
      <c r="G63" s="65"/>
      <c r="H63" s="65"/>
      <c r="I63" s="213"/>
      <c r="J63" s="65"/>
      <c r="K63" s="65"/>
      <c r="L63" s="213"/>
      <c r="M63" s="65"/>
      <c r="N63" s="65"/>
    </row>
    <row r="64" spans="7:14" ht="24.75" customHeight="1">
      <c r="G64" s="65"/>
      <c r="H64" s="65"/>
      <c r="I64" s="213"/>
      <c r="J64" s="65"/>
      <c r="K64" s="65"/>
      <c r="L64" s="213"/>
      <c r="M64" s="65"/>
      <c r="N64" s="65"/>
    </row>
    <row r="65" spans="7:14" ht="24.75" customHeight="1">
      <c r="G65" s="65"/>
      <c r="H65" s="65"/>
      <c r="I65" s="213"/>
      <c r="J65" s="65"/>
      <c r="K65" s="65"/>
      <c r="L65" s="213"/>
      <c r="M65" s="65"/>
      <c r="N65" s="65"/>
    </row>
    <row r="66" spans="7:14" ht="24.75" customHeight="1">
      <c r="G66" s="65"/>
      <c r="H66" s="65"/>
      <c r="I66" s="213"/>
      <c r="J66" s="65"/>
      <c r="K66" s="65"/>
      <c r="L66" s="213"/>
      <c r="M66" s="65"/>
      <c r="N66" s="65"/>
    </row>
    <row r="67" spans="7:14" ht="24.75" customHeight="1">
      <c r="G67" s="65"/>
      <c r="H67" s="65"/>
      <c r="I67" s="213"/>
      <c r="J67" s="65"/>
      <c r="K67" s="65"/>
      <c r="L67" s="213"/>
      <c r="M67" s="65"/>
      <c r="N67" s="65"/>
    </row>
    <row r="68" spans="7:14" ht="24.75" customHeight="1">
      <c r="G68" s="65"/>
      <c r="H68" s="65"/>
      <c r="I68" s="213"/>
      <c r="J68" s="65"/>
      <c r="K68" s="65"/>
      <c r="L68" s="213"/>
      <c r="M68" s="65"/>
      <c r="N68" s="65"/>
    </row>
    <row r="69" spans="7:14" ht="24.75" customHeight="1">
      <c r="G69" s="65"/>
      <c r="H69" s="65"/>
      <c r="I69" s="213"/>
      <c r="J69" s="65"/>
      <c r="K69" s="65"/>
      <c r="L69" s="213"/>
      <c r="M69" s="65"/>
      <c r="N69" s="65"/>
    </row>
    <row r="70" spans="7:14" ht="24.75" customHeight="1">
      <c r="G70" s="65"/>
      <c r="H70" s="65"/>
      <c r="I70" s="213"/>
      <c r="J70" s="65"/>
      <c r="K70" s="65"/>
      <c r="L70" s="213"/>
      <c r="M70" s="65"/>
      <c r="N70" s="65"/>
    </row>
    <row r="71" spans="7:14" ht="24.75" customHeight="1">
      <c r="G71" s="65"/>
      <c r="H71" s="65"/>
      <c r="I71" s="213"/>
      <c r="J71" s="65"/>
      <c r="K71" s="65"/>
      <c r="L71" s="213"/>
      <c r="M71" s="65"/>
      <c r="N71" s="65"/>
    </row>
    <row r="72" spans="7:14" ht="24.75" customHeight="1">
      <c r="G72" s="65"/>
      <c r="H72" s="65"/>
      <c r="I72" s="213"/>
      <c r="J72" s="65"/>
      <c r="K72" s="65"/>
      <c r="L72" s="213"/>
      <c r="M72" s="65"/>
      <c r="N72" s="65"/>
    </row>
    <row r="73" spans="7:14" ht="24.75" customHeight="1">
      <c r="G73" s="65"/>
      <c r="H73" s="65"/>
      <c r="I73" s="213"/>
      <c r="J73" s="65"/>
      <c r="K73" s="65"/>
      <c r="L73" s="213"/>
      <c r="M73" s="65"/>
      <c r="N73" s="65"/>
    </row>
    <row r="74" spans="7:14" ht="24.75" customHeight="1">
      <c r="G74" s="65"/>
      <c r="H74" s="65"/>
      <c r="I74" s="213"/>
      <c r="J74" s="65"/>
      <c r="K74" s="65"/>
      <c r="L74" s="213"/>
      <c r="M74" s="65"/>
      <c r="N74" s="65"/>
    </row>
    <row r="75" spans="7:14" ht="24.75" customHeight="1">
      <c r="G75" s="65"/>
      <c r="H75" s="65"/>
      <c r="I75" s="213"/>
      <c r="J75" s="65"/>
      <c r="K75" s="65"/>
      <c r="L75" s="213"/>
      <c r="M75" s="65"/>
      <c r="N75" s="65"/>
    </row>
    <row r="76" spans="7:14" ht="24.75" customHeight="1">
      <c r="G76" s="65"/>
      <c r="H76" s="65"/>
      <c r="I76" s="213"/>
      <c r="J76" s="65"/>
      <c r="K76" s="65"/>
      <c r="L76" s="213"/>
      <c r="M76" s="65"/>
      <c r="N76" s="65"/>
    </row>
    <row r="77" spans="7:14" ht="24.75" customHeight="1">
      <c r="G77" s="65"/>
      <c r="H77" s="65"/>
      <c r="I77" s="213"/>
      <c r="J77" s="65"/>
      <c r="K77" s="65"/>
      <c r="L77" s="213"/>
      <c r="M77" s="65"/>
      <c r="N77" s="65"/>
    </row>
    <row r="78" spans="7:14" ht="24.75" customHeight="1">
      <c r="G78" s="65"/>
      <c r="H78" s="65"/>
      <c r="I78" s="213"/>
      <c r="J78" s="65"/>
      <c r="K78" s="65"/>
      <c r="L78" s="213"/>
      <c r="M78" s="65"/>
      <c r="N78" s="65"/>
    </row>
    <row r="79" spans="7:14" ht="24.75" customHeight="1">
      <c r="G79" s="65"/>
      <c r="H79" s="65"/>
      <c r="I79" s="213"/>
      <c r="J79" s="65"/>
      <c r="K79" s="65"/>
      <c r="L79" s="213"/>
      <c r="M79" s="65"/>
      <c r="N79" s="65"/>
    </row>
    <row r="80" spans="7:14" ht="24.75" customHeight="1">
      <c r="G80" s="65"/>
      <c r="H80" s="65"/>
      <c r="I80" s="213"/>
      <c r="J80" s="65"/>
      <c r="K80" s="65"/>
      <c r="L80" s="213"/>
      <c r="M80" s="65"/>
      <c r="N80" s="65"/>
    </row>
    <row r="81" spans="7:14" ht="24.75" customHeight="1">
      <c r="G81" s="65"/>
      <c r="H81" s="65"/>
      <c r="I81" s="213"/>
      <c r="J81" s="65"/>
      <c r="K81" s="65"/>
      <c r="L81" s="213"/>
      <c r="M81" s="65"/>
      <c r="N81" s="65"/>
    </row>
    <row r="82" spans="7:14" ht="24.75" customHeight="1">
      <c r="G82" s="65"/>
      <c r="H82" s="65"/>
      <c r="I82" s="213"/>
      <c r="J82" s="65"/>
      <c r="K82" s="65"/>
      <c r="L82" s="213"/>
      <c r="M82" s="65"/>
      <c r="N82" s="65"/>
    </row>
    <row r="83" spans="7:14" ht="24.75" customHeight="1">
      <c r="G83" s="65"/>
      <c r="H83" s="65"/>
      <c r="I83" s="213"/>
      <c r="J83" s="65"/>
      <c r="K83" s="65"/>
      <c r="L83" s="213"/>
      <c r="M83" s="65"/>
      <c r="N83" s="65"/>
    </row>
    <row r="84" spans="7:14" ht="24.75" customHeight="1">
      <c r="G84" s="65"/>
      <c r="H84" s="65"/>
      <c r="I84" s="213"/>
      <c r="J84" s="65"/>
      <c r="K84" s="65"/>
      <c r="L84" s="213"/>
      <c r="M84" s="65"/>
      <c r="N84" s="65"/>
    </row>
    <row r="85" spans="7:14" ht="24.75" customHeight="1">
      <c r="G85" s="65"/>
      <c r="H85" s="65"/>
      <c r="I85" s="213"/>
      <c r="J85" s="65"/>
      <c r="K85" s="65"/>
      <c r="L85" s="213"/>
      <c r="M85" s="65"/>
      <c r="N85" s="65"/>
    </row>
    <row r="86" spans="7:14" ht="24.75" customHeight="1">
      <c r="G86" s="65"/>
      <c r="H86" s="65"/>
      <c r="I86" s="213"/>
      <c r="J86" s="65"/>
      <c r="K86" s="65"/>
      <c r="L86" s="213"/>
      <c r="M86" s="65"/>
      <c r="N86" s="65"/>
    </row>
    <row r="87" spans="7:14" ht="24.75" customHeight="1">
      <c r="G87" s="65"/>
      <c r="H87" s="65"/>
      <c r="I87" s="213"/>
      <c r="J87" s="65"/>
      <c r="K87" s="65"/>
      <c r="L87" s="213"/>
      <c r="M87" s="65"/>
      <c r="N87" s="65"/>
    </row>
    <row r="88" spans="7:14" ht="24.75" customHeight="1">
      <c r="G88" s="65"/>
      <c r="H88" s="65"/>
      <c r="I88" s="213"/>
      <c r="J88" s="65"/>
      <c r="K88" s="65"/>
      <c r="L88" s="213"/>
      <c r="M88" s="65"/>
      <c r="N88" s="65"/>
    </row>
    <row r="89" spans="7:14" ht="24.75" customHeight="1">
      <c r="G89" s="65"/>
      <c r="H89" s="65"/>
      <c r="I89" s="213"/>
      <c r="J89" s="65"/>
      <c r="K89" s="65"/>
      <c r="L89" s="213"/>
      <c r="M89" s="65"/>
      <c r="N89" s="65"/>
    </row>
    <row r="90" spans="7:14" ht="24.75" customHeight="1">
      <c r="G90" s="65"/>
      <c r="H90" s="65"/>
      <c r="I90" s="213"/>
      <c r="J90" s="65"/>
      <c r="K90" s="65"/>
      <c r="L90" s="213"/>
      <c r="M90" s="65"/>
      <c r="N90" s="65"/>
    </row>
    <row r="91" spans="7:14" ht="24.75" customHeight="1">
      <c r="G91" s="65"/>
      <c r="H91" s="65"/>
      <c r="I91" s="213"/>
      <c r="J91" s="65"/>
      <c r="K91" s="65"/>
      <c r="L91" s="213"/>
      <c r="M91" s="65"/>
      <c r="N91" s="65"/>
    </row>
    <row r="92" spans="7:14" ht="24.75" customHeight="1">
      <c r="G92" s="65"/>
      <c r="H92" s="65"/>
      <c r="I92" s="213"/>
      <c r="J92" s="65"/>
      <c r="K92" s="65"/>
      <c r="L92" s="213"/>
      <c r="M92" s="65"/>
      <c r="N92" s="65"/>
    </row>
    <row r="93" spans="7:14" ht="24.75" customHeight="1">
      <c r="G93" s="65"/>
      <c r="H93" s="65"/>
      <c r="I93" s="213"/>
      <c r="J93" s="65"/>
      <c r="K93" s="65"/>
      <c r="L93" s="213"/>
      <c r="M93" s="65"/>
      <c r="N93" s="65"/>
    </row>
    <row r="94" spans="7:14" ht="24.75" customHeight="1">
      <c r="G94" s="65"/>
      <c r="H94" s="65"/>
      <c r="I94" s="213"/>
      <c r="J94" s="65"/>
      <c r="K94" s="65"/>
      <c r="L94" s="213"/>
      <c r="M94" s="65"/>
      <c r="N94" s="65"/>
    </row>
    <row r="95" spans="7:14" ht="18.75">
      <c r="G95" s="65"/>
      <c r="H95" s="65"/>
      <c r="I95" s="213"/>
      <c r="J95" s="65"/>
      <c r="K95" s="65"/>
      <c r="L95" s="213"/>
      <c r="M95" s="65"/>
      <c r="N95" s="65"/>
    </row>
    <row r="96" spans="7:14" ht="18.75">
      <c r="G96" s="65"/>
      <c r="H96" s="65"/>
      <c r="I96" s="213"/>
      <c r="J96" s="65"/>
      <c r="K96" s="65"/>
      <c r="L96" s="213"/>
      <c r="M96" s="65"/>
      <c r="N96" s="65"/>
    </row>
    <row r="97" spans="7:14" ht="18.75">
      <c r="G97" s="65"/>
      <c r="H97" s="65"/>
      <c r="I97" s="213"/>
      <c r="J97" s="65"/>
      <c r="K97" s="65"/>
      <c r="L97" s="213"/>
      <c r="M97" s="65"/>
      <c r="N97" s="65"/>
    </row>
    <row r="98" spans="7:14" ht="18.75">
      <c r="G98" s="65"/>
      <c r="H98" s="65"/>
      <c r="I98" s="213"/>
      <c r="J98" s="65"/>
      <c r="K98" s="65"/>
      <c r="L98" s="213"/>
      <c r="M98" s="65"/>
      <c r="N98" s="65"/>
    </row>
    <row r="99" spans="7:14" ht="18.75">
      <c r="G99" s="65"/>
      <c r="H99" s="65"/>
      <c r="I99" s="213"/>
      <c r="J99" s="65"/>
      <c r="K99" s="65"/>
      <c r="L99" s="213"/>
      <c r="M99" s="65"/>
      <c r="N99" s="65"/>
    </row>
    <row r="100" spans="7:14" ht="18.75">
      <c r="G100" s="65"/>
      <c r="H100" s="65"/>
      <c r="I100" s="213"/>
      <c r="J100" s="65"/>
      <c r="K100" s="65"/>
      <c r="L100" s="213"/>
      <c r="M100" s="65"/>
      <c r="N100" s="65"/>
    </row>
    <row r="101" spans="7:14" ht="18.75">
      <c r="G101" s="65"/>
      <c r="H101" s="65"/>
      <c r="I101" s="213"/>
      <c r="J101" s="65"/>
      <c r="K101" s="65"/>
      <c r="L101" s="213"/>
      <c r="M101" s="65"/>
      <c r="N101" s="65"/>
    </row>
  </sheetData>
  <sheetProtection/>
  <mergeCells count="14">
    <mergeCell ref="A53:C53"/>
    <mergeCell ref="B52:C52"/>
    <mergeCell ref="D23:N23"/>
    <mergeCell ref="D29:N31"/>
    <mergeCell ref="J5:L5"/>
    <mergeCell ref="N5:N6"/>
    <mergeCell ref="M5:M6"/>
    <mergeCell ref="B51:D51"/>
    <mergeCell ref="D1:N1"/>
    <mergeCell ref="B2:N2"/>
    <mergeCell ref="B3:N3"/>
    <mergeCell ref="B4:C4"/>
    <mergeCell ref="D5:F5"/>
    <mergeCell ref="G5:I5"/>
  </mergeCells>
  <printOptions horizontalCentered="1"/>
  <pageMargins left="0" right="0" top="0" bottom="0" header="0" footer="0"/>
  <pageSetup fitToWidth="2"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89"/>
  <sheetViews>
    <sheetView tabSelected="1" view="pageBreakPreview" zoomScale="68" zoomScaleNormal="75" zoomScaleSheetLayoutView="68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H6" sqref="H6"/>
    </sheetView>
  </sheetViews>
  <sheetFormatPr defaultColWidth="7.875" defaultRowHeight="12.75"/>
  <cols>
    <col min="1" max="1" width="6.75390625" style="7" customWidth="1"/>
    <col min="2" max="2" width="61.25390625" style="8" customWidth="1"/>
    <col min="3" max="3" width="16.75390625" style="9" customWidth="1"/>
    <col min="4" max="4" width="19.75390625" style="8" customWidth="1"/>
    <col min="5" max="5" width="19.875" style="8" customWidth="1"/>
    <col min="6" max="6" width="16.875" style="21" customWidth="1"/>
    <col min="7" max="8" width="14.75390625" style="8" customWidth="1"/>
    <col min="9" max="9" width="11.875" style="21" customWidth="1"/>
    <col min="10" max="10" width="18.75390625" style="8" customWidth="1"/>
    <col min="11" max="11" width="19.875" style="8" customWidth="1"/>
    <col min="12" max="12" width="13.75390625" style="21" customWidth="1"/>
    <col min="13" max="13" width="19.75390625" style="8" customWidth="1"/>
    <col min="14" max="14" width="22.625" style="8" customWidth="1"/>
    <col min="15" max="16384" width="7.875" style="8" customWidth="1"/>
  </cols>
  <sheetData>
    <row r="1" spans="2:14" ht="18.75">
      <c r="B1" s="188" t="s">
        <v>88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2:14" ht="18.75">
      <c r="B2" s="169" t="s">
        <v>112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2:14" ht="18.75">
      <c r="B3" s="6"/>
      <c r="C3" s="87"/>
      <c r="D3" s="6"/>
      <c r="E3" s="6"/>
      <c r="F3" s="141"/>
      <c r="G3" s="130"/>
      <c r="H3" s="130"/>
      <c r="I3" s="141"/>
      <c r="J3" s="130"/>
      <c r="K3" s="130"/>
      <c r="L3" s="141"/>
      <c r="M3" s="130"/>
      <c r="N3" s="129"/>
    </row>
    <row r="4" spans="2:14" ht="12.75" customHeight="1">
      <c r="B4" s="187"/>
      <c r="C4" s="187"/>
      <c r="N4" s="10" t="s">
        <v>48</v>
      </c>
    </row>
    <row r="5" spans="1:14" ht="36.75" customHeight="1">
      <c r="A5" s="11" t="s">
        <v>36</v>
      </c>
      <c r="B5" s="12"/>
      <c r="C5" s="131" t="s">
        <v>1</v>
      </c>
      <c r="D5" s="171" t="s">
        <v>114</v>
      </c>
      <c r="E5" s="172"/>
      <c r="F5" s="173"/>
      <c r="G5" s="182" t="s">
        <v>116</v>
      </c>
      <c r="H5" s="183"/>
      <c r="I5" s="184"/>
      <c r="J5" s="171" t="s">
        <v>117</v>
      </c>
      <c r="K5" s="172"/>
      <c r="L5" s="173"/>
      <c r="M5" s="167" t="s">
        <v>118</v>
      </c>
      <c r="N5" s="167" t="s">
        <v>113</v>
      </c>
    </row>
    <row r="6" spans="1:14" ht="55.5" customHeight="1">
      <c r="A6" s="14" t="s">
        <v>9</v>
      </c>
      <c r="B6" s="133" t="s">
        <v>46</v>
      </c>
      <c r="C6" s="113" t="s">
        <v>107</v>
      </c>
      <c r="D6" s="13" t="s">
        <v>115</v>
      </c>
      <c r="E6" s="13" t="s">
        <v>47</v>
      </c>
      <c r="F6" s="15" t="s">
        <v>0</v>
      </c>
      <c r="G6" s="13" t="s">
        <v>115</v>
      </c>
      <c r="H6" s="13" t="s">
        <v>47</v>
      </c>
      <c r="I6" s="15" t="s">
        <v>0</v>
      </c>
      <c r="J6" s="13" t="s">
        <v>115</v>
      </c>
      <c r="K6" s="13" t="s">
        <v>47</v>
      </c>
      <c r="L6" s="15" t="s">
        <v>0</v>
      </c>
      <c r="M6" s="168"/>
      <c r="N6" s="168"/>
    </row>
    <row r="7" spans="1:14" s="21" customFormat="1" ht="36" customHeight="1">
      <c r="A7" s="47"/>
      <c r="B7" s="16" t="s">
        <v>49</v>
      </c>
      <c r="C7" s="18">
        <f>SUM(C8:C42)</f>
        <v>7296.700000000002</v>
      </c>
      <c r="D7" s="19">
        <f>SUM(D8:D42)</f>
        <v>6126.600000000001</v>
      </c>
      <c r="E7" s="19">
        <f>SUM(E8:E42)</f>
        <v>4207.9</v>
      </c>
      <c r="F7" s="19">
        <f aca="true" t="shared" si="0" ref="F7:F28">E7/D7*100</f>
        <v>68.6824666209643</v>
      </c>
      <c r="G7" s="19">
        <f>SUM(G8:G42)</f>
        <v>5291.9</v>
      </c>
      <c r="H7" s="19">
        <f>SUM(H8:H42)</f>
        <v>4998.900000000001</v>
      </c>
      <c r="I7" s="19">
        <f>H7/G7*100</f>
        <v>94.4632362667473</v>
      </c>
      <c r="J7" s="19">
        <f>SUM(J8:J42)</f>
        <v>11418.5</v>
      </c>
      <c r="K7" s="19">
        <f>SUM(K8:K42)</f>
        <v>9206.8</v>
      </c>
      <c r="L7" s="19">
        <f>K7/J7*100</f>
        <v>80.63055567719051</v>
      </c>
      <c r="M7" s="20">
        <f>SUM(M8:M42)</f>
        <v>2211.7000000000003</v>
      </c>
      <c r="N7" s="20">
        <f>SUM(N8:N42)</f>
        <v>9508.400000000001</v>
      </c>
    </row>
    <row r="8" spans="1:14" ht="38.25" customHeight="1">
      <c r="A8" s="22">
        <v>1</v>
      </c>
      <c r="B8" s="23" t="s">
        <v>50</v>
      </c>
      <c r="C8" s="24">
        <v>552.7</v>
      </c>
      <c r="D8" s="25">
        <v>881.2</v>
      </c>
      <c r="E8" s="25">
        <v>600.5</v>
      </c>
      <c r="F8" s="19">
        <f t="shared" si="0"/>
        <v>68.14571039491601</v>
      </c>
      <c r="G8" s="25">
        <v>778.6</v>
      </c>
      <c r="H8" s="25">
        <v>782.3</v>
      </c>
      <c r="I8" s="19">
        <f>H8/G8*100</f>
        <v>100.47521191882866</v>
      </c>
      <c r="J8" s="25">
        <f>D8+G8</f>
        <v>1659.8000000000002</v>
      </c>
      <c r="K8" s="25">
        <f>E8+H8</f>
        <v>1382.8</v>
      </c>
      <c r="L8" s="19">
        <f>K8/J8*100</f>
        <v>83.3112423183516</v>
      </c>
      <c r="M8" s="19">
        <f>J8-K8</f>
        <v>277.0000000000002</v>
      </c>
      <c r="N8" s="26">
        <f>C8+J8-K8</f>
        <v>829.7</v>
      </c>
    </row>
    <row r="9" spans="1:14" ht="38.25" customHeight="1">
      <c r="A9" s="22">
        <v>2</v>
      </c>
      <c r="B9" s="27" t="s">
        <v>81</v>
      </c>
      <c r="C9" s="24">
        <v>40.7</v>
      </c>
      <c r="D9" s="25">
        <v>145.9</v>
      </c>
      <c r="E9" s="25">
        <v>121.3</v>
      </c>
      <c r="F9" s="19">
        <f t="shared" si="0"/>
        <v>83.13913639479095</v>
      </c>
      <c r="G9" s="25">
        <v>121</v>
      </c>
      <c r="H9" s="25">
        <v>124.8</v>
      </c>
      <c r="I9" s="19">
        <f aca="true" t="shared" si="1" ref="I9:I22">H9/G9*100</f>
        <v>103.14049586776859</v>
      </c>
      <c r="J9" s="25">
        <f>D9+G9</f>
        <v>266.9</v>
      </c>
      <c r="K9" s="25">
        <f>E9+H9</f>
        <v>246.1</v>
      </c>
      <c r="L9" s="19">
        <f>K9/J9*100</f>
        <v>92.20681903334584</v>
      </c>
      <c r="M9" s="19">
        <f>J9-K9</f>
        <v>20.799999999999983</v>
      </c>
      <c r="N9" s="26">
        <f aca="true" t="shared" si="2" ref="N9:N28">C9+J9-K9</f>
        <v>61.49999999999997</v>
      </c>
    </row>
    <row r="10" spans="1:14" ht="38.25" customHeight="1">
      <c r="A10" s="22">
        <v>3</v>
      </c>
      <c r="B10" s="28" t="s">
        <v>97</v>
      </c>
      <c r="C10" s="24"/>
      <c r="D10" s="25"/>
      <c r="E10" s="25"/>
      <c r="F10" s="19"/>
      <c r="G10" s="30"/>
      <c r="H10" s="30"/>
      <c r="I10" s="19"/>
      <c r="J10" s="25"/>
      <c r="K10" s="25"/>
      <c r="L10" s="19"/>
      <c r="M10" s="19"/>
      <c r="N10" s="26"/>
    </row>
    <row r="11" spans="1:14" ht="23.25" customHeight="1">
      <c r="A11" s="22">
        <v>4</v>
      </c>
      <c r="B11" s="23" t="s">
        <v>108</v>
      </c>
      <c r="C11" s="24">
        <f>-5.5+23.3</f>
        <v>17.8</v>
      </c>
      <c r="D11" s="25">
        <v>20.1</v>
      </c>
      <c r="E11" s="25">
        <v>33.6</v>
      </c>
      <c r="F11" s="19">
        <f t="shared" si="0"/>
        <v>167.1641791044776</v>
      </c>
      <c r="G11" s="25">
        <v>17.7</v>
      </c>
      <c r="H11" s="25">
        <v>5.9</v>
      </c>
      <c r="I11" s="19">
        <f t="shared" si="1"/>
        <v>33.333333333333336</v>
      </c>
      <c r="J11" s="25">
        <f aca="true" t="shared" si="3" ref="J11:J22">D11+G11</f>
        <v>37.8</v>
      </c>
      <c r="K11" s="25">
        <f aca="true" t="shared" si="4" ref="K11:K22">E11+H11</f>
        <v>39.5</v>
      </c>
      <c r="L11" s="19">
        <f aca="true" t="shared" si="5" ref="L11:L22">K11/J11*100</f>
        <v>104.49735449735451</v>
      </c>
      <c r="M11" s="19">
        <f aca="true" t="shared" si="6" ref="M11:M22">J11-K11</f>
        <v>-1.7000000000000028</v>
      </c>
      <c r="N11" s="26">
        <f t="shared" si="2"/>
        <v>16.099999999999994</v>
      </c>
    </row>
    <row r="12" spans="1:14" ht="23.25" customHeight="1">
      <c r="A12" s="22">
        <v>5</v>
      </c>
      <c r="B12" s="23" t="s">
        <v>79</v>
      </c>
      <c r="C12" s="24">
        <v>65.4</v>
      </c>
      <c r="D12" s="25">
        <v>154.4</v>
      </c>
      <c r="E12" s="25">
        <v>73.7</v>
      </c>
      <c r="F12" s="19">
        <f t="shared" si="0"/>
        <v>47.733160621761655</v>
      </c>
      <c r="G12" s="25">
        <v>122.6</v>
      </c>
      <c r="H12" s="25">
        <v>174.6</v>
      </c>
      <c r="I12" s="19">
        <f t="shared" si="1"/>
        <v>142.41435562805873</v>
      </c>
      <c r="J12" s="25">
        <f t="shared" si="3"/>
        <v>277</v>
      </c>
      <c r="K12" s="25">
        <f t="shared" si="4"/>
        <v>248.3</v>
      </c>
      <c r="L12" s="19">
        <f t="shared" si="5"/>
        <v>89.6389891696751</v>
      </c>
      <c r="M12" s="19">
        <f t="shared" si="6"/>
        <v>28.69999999999999</v>
      </c>
      <c r="N12" s="26">
        <f t="shared" si="2"/>
        <v>94.09999999999997</v>
      </c>
    </row>
    <row r="13" spans="1:14" ht="23.25" customHeight="1">
      <c r="A13" s="22">
        <v>6</v>
      </c>
      <c r="B13" s="23" t="s">
        <v>51</v>
      </c>
      <c r="C13" s="24">
        <v>-10.9</v>
      </c>
      <c r="D13" s="25"/>
      <c r="E13" s="25"/>
      <c r="F13" s="19"/>
      <c r="G13" s="25"/>
      <c r="H13" s="25"/>
      <c r="I13" s="19"/>
      <c r="J13" s="25"/>
      <c r="K13" s="25"/>
      <c r="L13" s="19"/>
      <c r="M13" s="19">
        <f t="shared" si="6"/>
        <v>0</v>
      </c>
      <c r="N13" s="26">
        <f t="shared" si="2"/>
        <v>-10.9</v>
      </c>
    </row>
    <row r="14" spans="1:14" ht="23.25" customHeight="1">
      <c r="A14" s="22">
        <v>7</v>
      </c>
      <c r="B14" s="23" t="s">
        <v>52</v>
      </c>
      <c r="C14" s="24">
        <v>1.3</v>
      </c>
      <c r="D14" s="25"/>
      <c r="E14" s="25"/>
      <c r="F14" s="19"/>
      <c r="G14" s="30"/>
      <c r="H14" s="30"/>
      <c r="I14" s="19"/>
      <c r="J14" s="25"/>
      <c r="K14" s="25"/>
      <c r="L14" s="19"/>
      <c r="M14" s="19">
        <f t="shared" si="6"/>
        <v>0</v>
      </c>
      <c r="N14" s="26">
        <f t="shared" si="2"/>
        <v>1.3</v>
      </c>
    </row>
    <row r="15" spans="1:14" ht="23.25" customHeight="1">
      <c r="A15" s="22">
        <v>8</v>
      </c>
      <c r="B15" s="23" t="s">
        <v>53</v>
      </c>
      <c r="C15" s="24">
        <v>303.4</v>
      </c>
      <c r="D15" s="25">
        <v>304.3</v>
      </c>
      <c r="E15" s="25">
        <v>242.4</v>
      </c>
      <c r="F15" s="19">
        <f t="shared" si="0"/>
        <v>79.65823200788695</v>
      </c>
      <c r="G15" s="25">
        <v>266.5</v>
      </c>
      <c r="H15" s="25">
        <v>249.2</v>
      </c>
      <c r="I15" s="19">
        <f t="shared" si="1"/>
        <v>93.50844277673545</v>
      </c>
      <c r="J15" s="25">
        <f t="shared" si="3"/>
        <v>570.8</v>
      </c>
      <c r="K15" s="25">
        <f t="shared" si="4"/>
        <v>491.6</v>
      </c>
      <c r="L15" s="19">
        <f t="shared" si="5"/>
        <v>86.12473721093204</v>
      </c>
      <c r="M15" s="19">
        <f t="shared" si="6"/>
        <v>79.19999999999993</v>
      </c>
      <c r="N15" s="26">
        <f t="shared" si="2"/>
        <v>382.5999999999999</v>
      </c>
    </row>
    <row r="16" spans="1:14" ht="23.25" customHeight="1">
      <c r="A16" s="22">
        <v>9</v>
      </c>
      <c r="B16" s="23" t="s">
        <v>54</v>
      </c>
      <c r="C16" s="24">
        <v>23.5</v>
      </c>
      <c r="D16" s="25"/>
      <c r="E16" s="25"/>
      <c r="F16" s="214"/>
      <c r="G16" s="30"/>
      <c r="H16" s="30"/>
      <c r="I16" s="19"/>
      <c r="J16" s="25"/>
      <c r="K16" s="25"/>
      <c r="L16" s="19"/>
      <c r="M16" s="19">
        <f t="shared" si="6"/>
        <v>0</v>
      </c>
      <c r="N16" s="26">
        <f t="shared" si="2"/>
        <v>23.5</v>
      </c>
    </row>
    <row r="17" spans="1:14" ht="23.25" customHeight="1">
      <c r="A17" s="22">
        <v>10</v>
      </c>
      <c r="B17" s="28" t="s">
        <v>55</v>
      </c>
      <c r="C17" s="24">
        <v>109</v>
      </c>
      <c r="D17" s="25">
        <v>52.9</v>
      </c>
      <c r="E17" s="25">
        <v>42.5</v>
      </c>
      <c r="F17" s="19">
        <f t="shared" si="0"/>
        <v>80.34026465028356</v>
      </c>
      <c r="G17" s="25">
        <v>43.6</v>
      </c>
      <c r="H17" s="25">
        <v>49</v>
      </c>
      <c r="I17" s="19">
        <f t="shared" si="1"/>
        <v>112.38532110091744</v>
      </c>
      <c r="J17" s="25">
        <f t="shared" si="3"/>
        <v>96.5</v>
      </c>
      <c r="K17" s="25">
        <f t="shared" si="4"/>
        <v>91.5</v>
      </c>
      <c r="L17" s="19">
        <f t="shared" si="5"/>
        <v>94.81865284974094</v>
      </c>
      <c r="M17" s="19">
        <f t="shared" si="6"/>
        <v>5</v>
      </c>
      <c r="N17" s="26">
        <f t="shared" si="2"/>
        <v>114</v>
      </c>
    </row>
    <row r="18" spans="1:14" ht="23.25" customHeight="1">
      <c r="A18" s="22">
        <v>11</v>
      </c>
      <c r="B18" s="28" t="s">
        <v>56</v>
      </c>
      <c r="C18" s="24"/>
      <c r="D18" s="25"/>
      <c r="E18" s="25"/>
      <c r="F18" s="19"/>
      <c r="G18" s="25"/>
      <c r="H18" s="25"/>
      <c r="I18" s="19"/>
      <c r="J18" s="25"/>
      <c r="K18" s="25"/>
      <c r="L18" s="19"/>
      <c r="M18" s="19"/>
      <c r="N18" s="26"/>
    </row>
    <row r="19" spans="1:14" ht="23.25" customHeight="1">
      <c r="A19" s="22">
        <v>12</v>
      </c>
      <c r="B19" s="23" t="s">
        <v>80</v>
      </c>
      <c r="C19" s="24">
        <v>-1.9</v>
      </c>
      <c r="D19" s="25">
        <f>17.8+13.2</f>
        <v>31</v>
      </c>
      <c r="E19" s="25">
        <f>14.6+11.7</f>
        <v>26.299999999999997</v>
      </c>
      <c r="F19" s="19">
        <f t="shared" si="0"/>
        <v>84.83870967741935</v>
      </c>
      <c r="G19" s="25">
        <f>14.9+11</f>
        <v>25.9</v>
      </c>
      <c r="H19" s="25">
        <f>17.9+9.4</f>
        <v>27.299999999999997</v>
      </c>
      <c r="I19" s="19">
        <f t="shared" si="1"/>
        <v>105.40540540540539</v>
      </c>
      <c r="J19" s="25">
        <f t="shared" si="3"/>
        <v>56.9</v>
      </c>
      <c r="K19" s="25">
        <f t="shared" si="4"/>
        <v>53.599999999999994</v>
      </c>
      <c r="L19" s="19">
        <f t="shared" si="5"/>
        <v>94.20035149384886</v>
      </c>
      <c r="M19" s="19">
        <f t="shared" si="6"/>
        <v>3.3000000000000043</v>
      </c>
      <c r="N19" s="26">
        <f t="shared" si="2"/>
        <v>1.4000000000000057</v>
      </c>
    </row>
    <row r="20" spans="1:14" ht="23.25" customHeight="1">
      <c r="A20" s="22">
        <v>13</v>
      </c>
      <c r="B20" s="28" t="s">
        <v>57</v>
      </c>
      <c r="C20" s="24"/>
      <c r="D20" s="30"/>
      <c r="E20" s="30"/>
      <c r="F20" s="31"/>
      <c r="G20" s="30"/>
      <c r="H20" s="30"/>
      <c r="I20" s="19"/>
      <c r="J20" s="25"/>
      <c r="K20" s="25"/>
      <c r="L20" s="19"/>
      <c r="M20" s="19"/>
      <c r="N20" s="26"/>
    </row>
    <row r="21" spans="1:14" ht="23.25" customHeight="1">
      <c r="A21" s="22">
        <v>14</v>
      </c>
      <c r="B21" s="28" t="s">
        <v>58</v>
      </c>
      <c r="C21" s="24"/>
      <c r="D21" s="30"/>
      <c r="E21" s="30"/>
      <c r="F21" s="31"/>
      <c r="G21" s="30"/>
      <c r="H21" s="30"/>
      <c r="I21" s="19"/>
      <c r="J21" s="25"/>
      <c r="K21" s="25"/>
      <c r="L21" s="19"/>
      <c r="M21" s="19"/>
      <c r="N21" s="26"/>
    </row>
    <row r="22" spans="1:14" ht="37.5" customHeight="1">
      <c r="A22" s="22">
        <v>15</v>
      </c>
      <c r="B22" s="28" t="s">
        <v>59</v>
      </c>
      <c r="C22" s="24">
        <v>3.1</v>
      </c>
      <c r="D22" s="25">
        <v>14.6</v>
      </c>
      <c r="E22" s="25">
        <v>7.7</v>
      </c>
      <c r="F22" s="19">
        <f t="shared" si="0"/>
        <v>52.73972602739726</v>
      </c>
      <c r="G22" s="36">
        <v>10</v>
      </c>
      <c r="H22" s="36">
        <v>5.9</v>
      </c>
      <c r="I22" s="19">
        <f t="shared" si="1"/>
        <v>59.00000000000001</v>
      </c>
      <c r="J22" s="25">
        <f t="shared" si="3"/>
        <v>24.6</v>
      </c>
      <c r="K22" s="25">
        <f t="shared" si="4"/>
        <v>13.600000000000001</v>
      </c>
      <c r="L22" s="19">
        <f t="shared" si="5"/>
        <v>55.28455284552846</v>
      </c>
      <c r="M22" s="19">
        <f t="shared" si="6"/>
        <v>11</v>
      </c>
      <c r="N22" s="26">
        <f t="shared" si="2"/>
        <v>14.100000000000001</v>
      </c>
    </row>
    <row r="23" spans="1:14" ht="23.25" customHeight="1">
      <c r="A23" s="22">
        <v>16</v>
      </c>
      <c r="B23" s="28" t="s">
        <v>60</v>
      </c>
      <c r="C23" s="190" t="s">
        <v>91</v>
      </c>
      <c r="D23" s="191"/>
      <c r="E23" s="191"/>
      <c r="F23" s="191"/>
      <c r="G23" s="191"/>
      <c r="H23" s="191"/>
      <c r="I23" s="191"/>
      <c r="J23" s="191"/>
      <c r="K23" s="191"/>
      <c r="L23" s="192"/>
      <c r="M23" s="19"/>
      <c r="N23" s="34"/>
    </row>
    <row r="24" spans="1:14" ht="42" customHeight="1">
      <c r="A24" s="22">
        <v>17</v>
      </c>
      <c r="B24" s="28" t="s">
        <v>61</v>
      </c>
      <c r="C24" s="24">
        <v>607.6</v>
      </c>
      <c r="D24" s="25">
        <v>461.8</v>
      </c>
      <c r="E24" s="25">
        <v>309.3</v>
      </c>
      <c r="F24" s="19">
        <f t="shared" si="0"/>
        <v>66.9770463404071</v>
      </c>
      <c r="G24" s="25">
        <v>397.4</v>
      </c>
      <c r="H24" s="25">
        <v>533.7</v>
      </c>
      <c r="I24" s="19">
        <f>H24/G24*100</f>
        <v>134.29793658782086</v>
      </c>
      <c r="J24" s="25">
        <f>D24+G24</f>
        <v>859.2</v>
      </c>
      <c r="K24" s="25">
        <f>E24+H24</f>
        <v>843</v>
      </c>
      <c r="L24" s="19">
        <f>K24/J24*100</f>
        <v>98.11452513966479</v>
      </c>
      <c r="M24" s="19">
        <f>J24-K24</f>
        <v>16.200000000000045</v>
      </c>
      <c r="N24" s="26">
        <f t="shared" si="2"/>
        <v>623.8000000000002</v>
      </c>
    </row>
    <row r="25" spans="1:14" ht="23.25" customHeight="1">
      <c r="A25" s="22">
        <v>18</v>
      </c>
      <c r="B25" s="23" t="s">
        <v>62</v>
      </c>
      <c r="C25" s="24">
        <v>0</v>
      </c>
      <c r="D25" s="25">
        <v>0.8</v>
      </c>
      <c r="E25" s="25">
        <v>0</v>
      </c>
      <c r="F25" s="19">
        <f t="shared" si="0"/>
        <v>0</v>
      </c>
      <c r="G25" s="30"/>
      <c r="H25" s="30"/>
      <c r="I25" s="19"/>
      <c r="J25" s="25">
        <f>D25+G25</f>
        <v>0.8</v>
      </c>
      <c r="K25" s="25">
        <f>E25+H25</f>
        <v>0</v>
      </c>
      <c r="L25" s="19">
        <f>K25/J25*100</f>
        <v>0</v>
      </c>
      <c r="M25" s="19">
        <f>J25-K25</f>
        <v>0.8</v>
      </c>
      <c r="N25" s="26">
        <f t="shared" si="2"/>
        <v>0.8</v>
      </c>
    </row>
    <row r="26" spans="1:14" ht="23.25" customHeight="1">
      <c r="A26" s="22">
        <v>19</v>
      </c>
      <c r="B26" s="28" t="s">
        <v>63</v>
      </c>
      <c r="C26" s="24">
        <v>2.2</v>
      </c>
      <c r="D26" s="36"/>
      <c r="E26" s="36"/>
      <c r="F26" s="214"/>
      <c r="G26" s="25"/>
      <c r="H26" s="25"/>
      <c r="I26" s="19"/>
      <c r="J26" s="25"/>
      <c r="K26" s="25"/>
      <c r="L26" s="19"/>
      <c r="M26" s="19">
        <f>J26-K26</f>
        <v>0</v>
      </c>
      <c r="N26" s="26">
        <f t="shared" si="2"/>
        <v>2.2</v>
      </c>
    </row>
    <row r="27" spans="1:14" ht="34.5" customHeight="1">
      <c r="A27" s="22">
        <v>20</v>
      </c>
      <c r="B27" s="28" t="s">
        <v>94</v>
      </c>
      <c r="C27" s="24"/>
      <c r="D27" s="25"/>
      <c r="E27" s="25"/>
      <c r="F27" s="214"/>
      <c r="G27" s="25"/>
      <c r="H27" s="25"/>
      <c r="I27" s="19"/>
      <c r="J27" s="25"/>
      <c r="K27" s="25"/>
      <c r="L27" s="19"/>
      <c r="M27" s="19"/>
      <c r="N27" s="26"/>
    </row>
    <row r="28" spans="1:14" ht="40.5" customHeight="1">
      <c r="A28" s="22">
        <v>21</v>
      </c>
      <c r="B28" s="23" t="s">
        <v>64</v>
      </c>
      <c r="C28" s="24">
        <v>222.2</v>
      </c>
      <c r="D28" s="25">
        <v>199</v>
      </c>
      <c r="E28" s="25">
        <v>139.3</v>
      </c>
      <c r="F28" s="19">
        <f t="shared" si="0"/>
        <v>70</v>
      </c>
      <c r="G28" s="36">
        <v>192.6</v>
      </c>
      <c r="H28" s="36">
        <v>73.9</v>
      </c>
      <c r="I28" s="19">
        <f>H28/G28*100</f>
        <v>38.36967808930426</v>
      </c>
      <c r="J28" s="25">
        <f>D28+G28</f>
        <v>391.6</v>
      </c>
      <c r="K28" s="25">
        <f>E28+H28</f>
        <v>213.20000000000002</v>
      </c>
      <c r="L28" s="19">
        <f>K28/J28*100</f>
        <v>54.44330949948928</v>
      </c>
      <c r="M28" s="19">
        <f>J28-K28</f>
        <v>178.4</v>
      </c>
      <c r="N28" s="26">
        <f t="shared" si="2"/>
        <v>400.5999999999999</v>
      </c>
    </row>
    <row r="29" spans="1:14" ht="23.25" customHeight="1">
      <c r="A29" s="22">
        <v>22</v>
      </c>
      <c r="B29" s="23" t="s">
        <v>65</v>
      </c>
      <c r="C29" s="37"/>
      <c r="D29" s="68"/>
      <c r="E29" s="68"/>
      <c r="F29" s="68"/>
      <c r="G29" s="38"/>
      <c r="H29" s="38"/>
      <c r="I29" s="38"/>
      <c r="J29" s="38"/>
      <c r="K29" s="38"/>
      <c r="L29" s="38"/>
      <c r="M29" s="179"/>
      <c r="N29" s="39"/>
    </row>
    <row r="30" spans="1:14" ht="23.25" customHeight="1">
      <c r="A30" s="22">
        <v>23</v>
      </c>
      <c r="B30" s="28" t="s">
        <v>66</v>
      </c>
      <c r="C30" s="203" t="s">
        <v>91</v>
      </c>
      <c r="D30" s="204"/>
      <c r="E30" s="204"/>
      <c r="F30" s="204"/>
      <c r="G30" s="204"/>
      <c r="H30" s="204"/>
      <c r="I30" s="204"/>
      <c r="J30" s="204"/>
      <c r="K30" s="204"/>
      <c r="L30" s="205"/>
      <c r="M30" s="180"/>
      <c r="N30" s="41"/>
    </row>
    <row r="31" spans="1:14" ht="23.25" customHeight="1">
      <c r="A31" s="22">
        <v>24</v>
      </c>
      <c r="B31" s="28" t="s">
        <v>67</v>
      </c>
      <c r="C31" s="42"/>
      <c r="D31" s="71"/>
      <c r="E31" s="71"/>
      <c r="F31" s="71"/>
      <c r="G31" s="43"/>
      <c r="H31" s="43"/>
      <c r="I31" s="43"/>
      <c r="J31" s="43"/>
      <c r="K31" s="43"/>
      <c r="L31" s="43"/>
      <c r="M31" s="181"/>
      <c r="N31" s="44"/>
    </row>
    <row r="32" spans="1:14" ht="23.25" customHeight="1">
      <c r="A32" s="22">
        <v>25</v>
      </c>
      <c r="B32" s="28" t="s">
        <v>87</v>
      </c>
      <c r="C32" s="24"/>
      <c r="D32" s="30"/>
      <c r="E32" s="30"/>
      <c r="F32" s="31" t="e">
        <f aca="true" t="shared" si="7" ref="F32:F46">E32/D32*100</f>
        <v>#DIV/0!</v>
      </c>
      <c r="G32" s="30"/>
      <c r="H32" s="30"/>
      <c r="I32" s="31"/>
      <c r="J32" s="30"/>
      <c r="K32" s="30"/>
      <c r="L32" s="31"/>
      <c r="M32" s="19"/>
      <c r="N32" s="45"/>
    </row>
    <row r="33" spans="1:14" ht="23.25" customHeight="1">
      <c r="A33" s="22"/>
      <c r="B33" s="28" t="s">
        <v>106</v>
      </c>
      <c r="C33" s="24">
        <f>178.6+(-46.9)</f>
        <v>131.7</v>
      </c>
      <c r="D33" s="25">
        <f>195.9</f>
        <v>195.9</v>
      </c>
      <c r="E33" s="25">
        <v>167.7</v>
      </c>
      <c r="F33" s="19">
        <f t="shared" si="7"/>
        <v>85.60490045941806</v>
      </c>
      <c r="G33" s="25">
        <v>152.9</v>
      </c>
      <c r="H33" s="25">
        <v>188.4</v>
      </c>
      <c r="I33" s="19">
        <f aca="true" t="shared" si="8" ref="I33:I45">H33/G33*100</f>
        <v>123.21778940483976</v>
      </c>
      <c r="J33" s="25">
        <f>D33+G33</f>
        <v>348.8</v>
      </c>
      <c r="K33" s="25">
        <f>E33+H33</f>
        <v>356.1</v>
      </c>
      <c r="L33" s="19">
        <f>K33/J33*100</f>
        <v>102.0928899082569</v>
      </c>
      <c r="M33" s="19">
        <f aca="true" t="shared" si="9" ref="M33:M42">J33-K33</f>
        <v>-7.300000000000011</v>
      </c>
      <c r="N33" s="26">
        <f aca="true" t="shared" si="10" ref="N33:N42">C33+J33-K33</f>
        <v>124.39999999999998</v>
      </c>
    </row>
    <row r="34" spans="1:14" ht="24.75" customHeight="1">
      <c r="A34" s="46"/>
      <c r="B34" s="28" t="s">
        <v>69</v>
      </c>
      <c r="C34" s="24">
        <v>0</v>
      </c>
      <c r="D34" s="30"/>
      <c r="E34" s="30"/>
      <c r="F34" s="31"/>
      <c r="G34" s="25"/>
      <c r="H34" s="25"/>
      <c r="I34" s="31"/>
      <c r="J34" s="25"/>
      <c r="K34" s="25"/>
      <c r="L34" s="19"/>
      <c r="M34" s="19">
        <f t="shared" si="9"/>
        <v>0</v>
      </c>
      <c r="N34" s="26">
        <f t="shared" si="10"/>
        <v>0</v>
      </c>
    </row>
    <row r="35" spans="1:14" ht="40.5" customHeight="1">
      <c r="A35" s="22">
        <v>26</v>
      </c>
      <c r="B35" s="28" t="s">
        <v>95</v>
      </c>
      <c r="C35" s="24">
        <v>2037.7</v>
      </c>
      <c r="D35" s="25">
        <v>124.2</v>
      </c>
      <c r="E35" s="25">
        <v>54.7</v>
      </c>
      <c r="F35" s="19">
        <f t="shared" si="7"/>
        <v>44.04186795491143</v>
      </c>
      <c r="G35" s="25">
        <v>102.3</v>
      </c>
      <c r="H35" s="25">
        <v>54.5</v>
      </c>
      <c r="I35" s="19">
        <f t="shared" si="8"/>
        <v>53.27468230694037</v>
      </c>
      <c r="J35" s="25">
        <f aca="true" t="shared" si="11" ref="J35:J42">D35+G35</f>
        <v>226.5</v>
      </c>
      <c r="K35" s="25">
        <f aca="true" t="shared" si="12" ref="K35:K42">E35+H35</f>
        <v>109.2</v>
      </c>
      <c r="L35" s="19">
        <f aca="true" t="shared" si="13" ref="L35:L42">K35/J35*100</f>
        <v>48.211920529801326</v>
      </c>
      <c r="M35" s="19">
        <f t="shared" si="9"/>
        <v>117.3</v>
      </c>
      <c r="N35" s="26">
        <f t="shared" si="10"/>
        <v>2155</v>
      </c>
    </row>
    <row r="36" spans="1:14" ht="23.25" customHeight="1">
      <c r="A36" s="22">
        <v>27</v>
      </c>
      <c r="B36" s="23" t="s">
        <v>70</v>
      </c>
      <c r="C36" s="24">
        <v>54.1</v>
      </c>
      <c r="D36" s="25">
        <v>80.8</v>
      </c>
      <c r="E36" s="25">
        <v>60.6</v>
      </c>
      <c r="F36" s="19">
        <f t="shared" si="7"/>
        <v>75</v>
      </c>
      <c r="G36" s="25">
        <v>72.6</v>
      </c>
      <c r="H36" s="25">
        <v>68.9</v>
      </c>
      <c r="I36" s="19">
        <f t="shared" si="8"/>
        <v>94.90358126721765</v>
      </c>
      <c r="J36" s="25">
        <f t="shared" si="11"/>
        <v>153.39999999999998</v>
      </c>
      <c r="K36" s="25">
        <f t="shared" si="12"/>
        <v>129.5</v>
      </c>
      <c r="L36" s="19">
        <f t="shared" si="13"/>
        <v>84.41981747066494</v>
      </c>
      <c r="M36" s="19">
        <f t="shared" si="9"/>
        <v>23.899999999999977</v>
      </c>
      <c r="N36" s="26">
        <f t="shared" si="10"/>
        <v>77.99999999999997</v>
      </c>
    </row>
    <row r="37" spans="1:14" ht="23.25" customHeight="1">
      <c r="A37" s="22">
        <v>28</v>
      </c>
      <c r="B37" s="28" t="s">
        <v>71</v>
      </c>
      <c r="C37" s="24">
        <v>722.8</v>
      </c>
      <c r="D37" s="25">
        <v>588</v>
      </c>
      <c r="E37" s="25">
        <v>448.3</v>
      </c>
      <c r="F37" s="19">
        <f t="shared" si="7"/>
        <v>76.24149659863946</v>
      </c>
      <c r="G37" s="25">
        <v>522.9</v>
      </c>
      <c r="H37" s="25">
        <v>549.5</v>
      </c>
      <c r="I37" s="19">
        <f t="shared" si="8"/>
        <v>105.08701472556893</v>
      </c>
      <c r="J37" s="25">
        <f t="shared" si="11"/>
        <v>1110.9</v>
      </c>
      <c r="K37" s="25">
        <f t="shared" si="12"/>
        <v>997.8</v>
      </c>
      <c r="L37" s="19">
        <f t="shared" si="13"/>
        <v>89.81906562246826</v>
      </c>
      <c r="M37" s="19">
        <f t="shared" si="9"/>
        <v>113.10000000000014</v>
      </c>
      <c r="N37" s="26">
        <f t="shared" si="10"/>
        <v>835.9000000000001</v>
      </c>
    </row>
    <row r="38" spans="1:14" ht="23.25" customHeight="1">
      <c r="A38" s="22">
        <v>29</v>
      </c>
      <c r="B38" s="28" t="s">
        <v>72</v>
      </c>
      <c r="C38" s="24">
        <v>478.1</v>
      </c>
      <c r="D38" s="25">
        <v>508.6</v>
      </c>
      <c r="E38" s="25">
        <v>426.4</v>
      </c>
      <c r="F38" s="19">
        <f t="shared" si="7"/>
        <v>83.8379866299646</v>
      </c>
      <c r="G38" s="25">
        <v>492.1</v>
      </c>
      <c r="H38" s="25">
        <v>420.6</v>
      </c>
      <c r="I38" s="19">
        <f t="shared" si="8"/>
        <v>85.4704328388539</v>
      </c>
      <c r="J38" s="25">
        <f t="shared" si="11"/>
        <v>1000.7</v>
      </c>
      <c r="K38" s="25">
        <f t="shared" si="12"/>
        <v>847</v>
      </c>
      <c r="L38" s="19">
        <f t="shared" si="13"/>
        <v>84.64075147396822</v>
      </c>
      <c r="M38" s="19">
        <f t="shared" si="9"/>
        <v>153.70000000000005</v>
      </c>
      <c r="N38" s="26">
        <f t="shared" si="10"/>
        <v>631.8000000000002</v>
      </c>
    </row>
    <row r="39" spans="1:14" ht="35.25" customHeight="1">
      <c r="A39" s="22">
        <v>30</v>
      </c>
      <c r="B39" s="28" t="s">
        <v>96</v>
      </c>
      <c r="C39" s="24">
        <v>944.2</v>
      </c>
      <c r="D39" s="25">
        <v>1374.7</v>
      </c>
      <c r="E39" s="25">
        <v>671.4</v>
      </c>
      <c r="F39" s="19">
        <f t="shared" si="7"/>
        <v>48.839746853859026</v>
      </c>
      <c r="G39" s="25">
        <v>1133.8</v>
      </c>
      <c r="H39" s="25">
        <v>932.1</v>
      </c>
      <c r="I39" s="19">
        <f t="shared" si="8"/>
        <v>82.21026636091023</v>
      </c>
      <c r="J39" s="25">
        <f t="shared" si="11"/>
        <v>2508.5</v>
      </c>
      <c r="K39" s="25">
        <f t="shared" si="12"/>
        <v>1603.5</v>
      </c>
      <c r="L39" s="19">
        <f t="shared" si="13"/>
        <v>63.92266294598365</v>
      </c>
      <c r="M39" s="19">
        <f t="shared" si="9"/>
        <v>905</v>
      </c>
      <c r="N39" s="26">
        <f t="shared" si="10"/>
        <v>1849.1999999999998</v>
      </c>
    </row>
    <row r="40" spans="1:14" ht="23.25" customHeight="1">
      <c r="A40" s="22">
        <v>31</v>
      </c>
      <c r="B40" s="28" t="s">
        <v>73</v>
      </c>
      <c r="C40" s="24">
        <v>1.6</v>
      </c>
      <c r="D40" s="25">
        <v>1.1</v>
      </c>
      <c r="E40" s="25">
        <v>0</v>
      </c>
      <c r="F40" s="19">
        <f t="shared" si="7"/>
        <v>0</v>
      </c>
      <c r="G40" s="25">
        <v>0.9</v>
      </c>
      <c r="H40" s="25">
        <v>0</v>
      </c>
      <c r="I40" s="19">
        <f t="shared" si="8"/>
        <v>0</v>
      </c>
      <c r="J40" s="25">
        <f t="shared" si="11"/>
        <v>2</v>
      </c>
      <c r="K40" s="25">
        <f t="shared" si="12"/>
        <v>0</v>
      </c>
      <c r="L40" s="19">
        <f t="shared" si="13"/>
        <v>0</v>
      </c>
      <c r="M40" s="19">
        <f t="shared" si="9"/>
        <v>2</v>
      </c>
      <c r="N40" s="26">
        <f t="shared" si="10"/>
        <v>3.6</v>
      </c>
    </row>
    <row r="41" spans="1:14" ht="35.25" customHeight="1">
      <c r="A41" s="22">
        <v>32</v>
      </c>
      <c r="B41" s="23" t="s">
        <v>74</v>
      </c>
      <c r="C41" s="24">
        <v>563.8</v>
      </c>
      <c r="D41" s="25">
        <v>333.7</v>
      </c>
      <c r="E41" s="25">
        <v>278.2</v>
      </c>
      <c r="F41" s="19">
        <f t="shared" si="7"/>
        <v>83.36829487563679</v>
      </c>
      <c r="G41" s="102">
        <v>282.8</v>
      </c>
      <c r="H41" s="102">
        <v>315.5</v>
      </c>
      <c r="I41" s="117">
        <f t="shared" si="8"/>
        <v>111.56294200848656</v>
      </c>
      <c r="J41" s="25">
        <f t="shared" si="11"/>
        <v>616.5</v>
      </c>
      <c r="K41" s="25">
        <f t="shared" si="12"/>
        <v>593.7</v>
      </c>
      <c r="L41" s="19">
        <f t="shared" si="13"/>
        <v>96.30170316301704</v>
      </c>
      <c r="M41" s="19">
        <f t="shared" si="9"/>
        <v>22.799999999999955</v>
      </c>
      <c r="N41" s="26">
        <f t="shared" si="10"/>
        <v>586.5999999999999</v>
      </c>
    </row>
    <row r="42" spans="1:14" ht="23.25" customHeight="1">
      <c r="A42" s="22">
        <v>33</v>
      </c>
      <c r="B42" s="28" t="s">
        <v>75</v>
      </c>
      <c r="C42" s="24">
        <v>426.6</v>
      </c>
      <c r="D42" s="25">
        <v>653.6</v>
      </c>
      <c r="E42" s="25">
        <v>504</v>
      </c>
      <c r="F42" s="19">
        <f t="shared" si="7"/>
        <v>77.11138310893513</v>
      </c>
      <c r="G42" s="25">
        <v>555.7</v>
      </c>
      <c r="H42" s="25">
        <v>442.8</v>
      </c>
      <c r="I42" s="19">
        <f t="shared" si="8"/>
        <v>79.68328234658988</v>
      </c>
      <c r="J42" s="25">
        <f t="shared" si="11"/>
        <v>1209.3000000000002</v>
      </c>
      <c r="K42" s="25">
        <f t="shared" si="12"/>
        <v>946.8</v>
      </c>
      <c r="L42" s="19">
        <f t="shared" si="13"/>
        <v>78.29322748697592</v>
      </c>
      <c r="M42" s="19">
        <f t="shared" si="9"/>
        <v>262.5000000000002</v>
      </c>
      <c r="N42" s="26">
        <f t="shared" si="10"/>
        <v>689.1000000000001</v>
      </c>
    </row>
    <row r="43" spans="1:14" s="21" customFormat="1" ht="23.25" customHeight="1">
      <c r="A43" s="47">
        <v>34</v>
      </c>
      <c r="B43" s="48" t="s">
        <v>76</v>
      </c>
      <c r="C43" s="49">
        <f>C44+C45</f>
        <v>127344.3</v>
      </c>
      <c r="D43" s="49">
        <f>D44+D45</f>
        <v>76749.7</v>
      </c>
      <c r="E43" s="49">
        <f>E44+E45</f>
        <v>48505.8</v>
      </c>
      <c r="F43" s="19">
        <f t="shared" si="7"/>
        <v>63.19998644945844</v>
      </c>
      <c r="G43" s="49">
        <f>G44+G45</f>
        <v>78490.8</v>
      </c>
      <c r="H43" s="49">
        <f>H44+H45</f>
        <v>50640</v>
      </c>
      <c r="I43" s="19">
        <f>H43/G43*100</f>
        <v>64.51711538167531</v>
      </c>
      <c r="J43" s="49">
        <f>J44+J45</f>
        <v>155240.5</v>
      </c>
      <c r="K43" s="49">
        <f>K44+K45</f>
        <v>99145.8</v>
      </c>
      <c r="L43" s="19">
        <f>K43/J43*100</f>
        <v>63.86593704606723</v>
      </c>
      <c r="M43" s="50">
        <f>M44+M45</f>
        <v>56094.7</v>
      </c>
      <c r="N43" s="50">
        <f>N44+N45</f>
        <v>183439</v>
      </c>
    </row>
    <row r="44" spans="1:14" s="21" customFormat="1" ht="23.25" customHeight="1">
      <c r="A44" s="47"/>
      <c r="B44" s="23" t="s">
        <v>77</v>
      </c>
      <c r="C44" s="24">
        <v>126878</v>
      </c>
      <c r="D44" s="25">
        <v>76013</v>
      </c>
      <c r="E44" s="25">
        <v>47721</v>
      </c>
      <c r="F44" s="19">
        <f t="shared" si="7"/>
        <v>62.7800507807875</v>
      </c>
      <c r="G44" s="25">
        <v>76901</v>
      </c>
      <c r="H44" s="25">
        <v>49715</v>
      </c>
      <c r="I44" s="19">
        <f t="shared" si="8"/>
        <v>64.64805399149556</v>
      </c>
      <c r="J44" s="25">
        <f>D44+G44</f>
        <v>152914</v>
      </c>
      <c r="K44" s="25">
        <f>E44+H44</f>
        <v>97436</v>
      </c>
      <c r="L44" s="19">
        <f>K44/J44*100</f>
        <v>63.71947630694377</v>
      </c>
      <c r="M44" s="19">
        <f>J44-K44</f>
        <v>55478</v>
      </c>
      <c r="N44" s="26">
        <f>C44+J44-K44</f>
        <v>182356</v>
      </c>
    </row>
    <row r="45" spans="1:14" s="21" customFormat="1" ht="24.75" customHeight="1">
      <c r="A45" s="47"/>
      <c r="B45" s="23" t="s">
        <v>69</v>
      </c>
      <c r="C45" s="24">
        <v>466.3</v>
      </c>
      <c r="D45" s="25">
        <v>736.7</v>
      </c>
      <c r="E45" s="25">
        <v>784.8</v>
      </c>
      <c r="F45" s="19">
        <f>E45/D45*100</f>
        <v>106.52911632957785</v>
      </c>
      <c r="G45" s="36">
        <v>1589.8</v>
      </c>
      <c r="H45" s="36">
        <v>925</v>
      </c>
      <c r="I45" s="19">
        <f t="shared" si="8"/>
        <v>58.18341929802491</v>
      </c>
      <c r="J45" s="25">
        <f>D45+G45</f>
        <v>2326.5</v>
      </c>
      <c r="K45" s="25">
        <f>E45+H45</f>
        <v>1709.8</v>
      </c>
      <c r="L45" s="19">
        <f>K45/J45*100</f>
        <v>73.4923705136471</v>
      </c>
      <c r="M45" s="19">
        <f>J45-K45</f>
        <v>616.7</v>
      </c>
      <c r="N45" s="26">
        <f>C45+J45-K45</f>
        <v>1083.0000000000002</v>
      </c>
    </row>
    <row r="46" spans="1:14" s="21" customFormat="1" ht="23.25" customHeight="1">
      <c r="A46" s="47"/>
      <c r="B46" s="48" t="s">
        <v>78</v>
      </c>
      <c r="C46" s="49">
        <f>C7+C43</f>
        <v>134641</v>
      </c>
      <c r="D46" s="26">
        <f>D7+D43</f>
        <v>82876.3</v>
      </c>
      <c r="E46" s="26">
        <f>E7+E43</f>
        <v>52713.700000000004</v>
      </c>
      <c r="F46" s="19">
        <f t="shared" si="7"/>
        <v>63.60527677997209</v>
      </c>
      <c r="G46" s="26">
        <f>G7+G43</f>
        <v>83782.7</v>
      </c>
      <c r="H46" s="26">
        <f>H7+H43</f>
        <v>55638.9</v>
      </c>
      <c r="I46" s="19">
        <f>H46/G46*100</f>
        <v>66.40857838193327</v>
      </c>
      <c r="J46" s="26">
        <f>J7+J43</f>
        <v>166659</v>
      </c>
      <c r="K46" s="26">
        <f>K7+K43</f>
        <v>108352.6</v>
      </c>
      <c r="L46" s="19">
        <f>K46/J46*100</f>
        <v>65.01455066933079</v>
      </c>
      <c r="M46" s="50">
        <f>M7+M43</f>
        <v>58306.399999999994</v>
      </c>
      <c r="N46" s="50">
        <f>N7+N43</f>
        <v>192947.4</v>
      </c>
    </row>
    <row r="47" spans="3:14" ht="38.25" customHeight="1">
      <c r="C47" s="62"/>
      <c r="D47" s="56"/>
      <c r="E47" s="56"/>
      <c r="F47" s="59"/>
      <c r="G47" s="65"/>
      <c r="H47" s="65"/>
      <c r="I47" s="213"/>
      <c r="J47" s="65"/>
      <c r="K47" s="65"/>
      <c r="L47" s="213"/>
      <c r="M47" s="65"/>
      <c r="N47" s="65"/>
    </row>
    <row r="48" spans="3:14" ht="38.25" customHeight="1">
      <c r="C48" s="62"/>
      <c r="D48" s="56"/>
      <c r="E48" s="56"/>
      <c r="F48" s="59"/>
      <c r="G48" s="65"/>
      <c r="H48" s="65"/>
      <c r="I48" s="213"/>
      <c r="J48" s="65"/>
      <c r="K48" s="65"/>
      <c r="L48" s="213"/>
      <c r="M48" s="65"/>
      <c r="N48" s="65"/>
    </row>
    <row r="49" spans="7:14" ht="38.25" customHeight="1">
      <c r="G49" s="65"/>
      <c r="H49" s="65"/>
      <c r="I49" s="213"/>
      <c r="J49" s="65"/>
      <c r="K49" s="65"/>
      <c r="L49" s="213"/>
      <c r="M49" s="65"/>
      <c r="N49" s="65"/>
    </row>
    <row r="50" spans="7:14" ht="38.25" customHeight="1">
      <c r="G50" s="65"/>
      <c r="H50" s="65"/>
      <c r="I50" s="213"/>
      <c r="J50" s="65"/>
      <c r="K50" s="65"/>
      <c r="L50" s="213"/>
      <c r="M50" s="65"/>
      <c r="N50" s="65"/>
    </row>
    <row r="51" spans="7:14" ht="38.25" customHeight="1">
      <c r="G51" s="65"/>
      <c r="H51" s="65"/>
      <c r="I51" s="213"/>
      <c r="J51" s="65"/>
      <c r="K51" s="65"/>
      <c r="L51" s="213"/>
      <c r="M51" s="65"/>
      <c r="N51" s="65"/>
    </row>
    <row r="52" spans="7:14" ht="38.25" customHeight="1">
      <c r="G52" s="65"/>
      <c r="H52" s="65"/>
      <c r="I52" s="213"/>
      <c r="J52" s="65"/>
      <c r="K52" s="65"/>
      <c r="L52" s="213"/>
      <c r="M52" s="65"/>
      <c r="N52" s="65"/>
    </row>
    <row r="53" spans="7:14" ht="38.25" customHeight="1">
      <c r="G53" s="65"/>
      <c r="H53" s="65"/>
      <c r="I53" s="213"/>
      <c r="J53" s="65"/>
      <c r="K53" s="65"/>
      <c r="L53" s="213"/>
      <c r="M53" s="65"/>
      <c r="N53" s="65"/>
    </row>
    <row r="54" spans="7:14" ht="24.75" customHeight="1">
      <c r="G54" s="65"/>
      <c r="H54" s="65"/>
      <c r="I54" s="213"/>
      <c r="J54" s="65"/>
      <c r="K54" s="65"/>
      <c r="L54" s="213"/>
      <c r="M54" s="65"/>
      <c r="N54" s="65"/>
    </row>
    <row r="55" spans="7:14" ht="24.75" customHeight="1">
      <c r="G55" s="65"/>
      <c r="H55" s="65"/>
      <c r="I55" s="213"/>
      <c r="J55" s="65"/>
      <c r="K55" s="65"/>
      <c r="L55" s="213"/>
      <c r="M55" s="65"/>
      <c r="N55" s="65"/>
    </row>
    <row r="56" spans="7:14" ht="24.75" customHeight="1">
      <c r="G56" s="65"/>
      <c r="H56" s="65"/>
      <c r="I56" s="213"/>
      <c r="J56" s="65"/>
      <c r="K56" s="65"/>
      <c r="L56" s="213"/>
      <c r="M56" s="65"/>
      <c r="N56" s="65"/>
    </row>
    <row r="57" spans="7:14" ht="24.75" customHeight="1">
      <c r="G57" s="65"/>
      <c r="H57" s="65"/>
      <c r="I57" s="213"/>
      <c r="J57" s="65"/>
      <c r="K57" s="65"/>
      <c r="L57" s="213"/>
      <c r="M57" s="65"/>
      <c r="N57" s="65"/>
    </row>
    <row r="58" spans="7:14" ht="24.75" customHeight="1">
      <c r="G58" s="65"/>
      <c r="H58" s="65"/>
      <c r="I58" s="213"/>
      <c r="J58" s="65"/>
      <c r="K58" s="65"/>
      <c r="L58" s="213"/>
      <c r="M58" s="65"/>
      <c r="N58" s="65"/>
    </row>
    <row r="59" spans="7:14" ht="24.75" customHeight="1">
      <c r="G59" s="65"/>
      <c r="H59" s="65"/>
      <c r="I59" s="213"/>
      <c r="J59" s="65"/>
      <c r="K59" s="65"/>
      <c r="L59" s="213"/>
      <c r="M59" s="65"/>
      <c r="N59" s="65"/>
    </row>
    <row r="60" spans="7:14" ht="24.75" customHeight="1">
      <c r="G60" s="65"/>
      <c r="H60" s="65"/>
      <c r="I60" s="213"/>
      <c r="J60" s="65"/>
      <c r="K60" s="65"/>
      <c r="L60" s="213"/>
      <c r="M60" s="65"/>
      <c r="N60" s="65"/>
    </row>
    <row r="61" spans="7:14" ht="24.75" customHeight="1">
      <c r="G61" s="65"/>
      <c r="H61" s="65"/>
      <c r="I61" s="213"/>
      <c r="J61" s="65"/>
      <c r="K61" s="65"/>
      <c r="L61" s="213"/>
      <c r="M61" s="65"/>
      <c r="N61" s="65"/>
    </row>
    <row r="62" spans="7:14" ht="24.75" customHeight="1">
      <c r="G62" s="65"/>
      <c r="H62" s="65"/>
      <c r="I62" s="213"/>
      <c r="J62" s="65"/>
      <c r="K62" s="65"/>
      <c r="L62" s="213"/>
      <c r="M62" s="65"/>
      <c r="N62" s="65"/>
    </row>
    <row r="63" spans="7:14" ht="24.75" customHeight="1">
      <c r="G63" s="65"/>
      <c r="H63" s="65"/>
      <c r="I63" s="213"/>
      <c r="J63" s="65"/>
      <c r="K63" s="65"/>
      <c r="L63" s="213"/>
      <c r="M63" s="65"/>
      <c r="N63" s="65"/>
    </row>
    <row r="64" spans="7:14" ht="24.75" customHeight="1">
      <c r="G64" s="65"/>
      <c r="H64" s="65"/>
      <c r="I64" s="213"/>
      <c r="J64" s="65"/>
      <c r="K64" s="65"/>
      <c r="L64" s="213"/>
      <c r="M64" s="65"/>
      <c r="N64" s="65"/>
    </row>
    <row r="65" spans="7:14" ht="24.75" customHeight="1">
      <c r="G65" s="65"/>
      <c r="H65" s="65"/>
      <c r="I65" s="213"/>
      <c r="J65" s="65"/>
      <c r="K65" s="65"/>
      <c r="L65" s="213"/>
      <c r="M65" s="65"/>
      <c r="N65" s="65"/>
    </row>
    <row r="66" spans="7:14" ht="24.75" customHeight="1">
      <c r="G66" s="65"/>
      <c r="H66" s="65"/>
      <c r="I66" s="213"/>
      <c r="J66" s="65"/>
      <c r="K66" s="65"/>
      <c r="L66" s="213"/>
      <c r="M66" s="65"/>
      <c r="N66" s="65"/>
    </row>
    <row r="67" spans="7:14" ht="24.75" customHeight="1">
      <c r="G67" s="65"/>
      <c r="H67" s="65"/>
      <c r="I67" s="213"/>
      <c r="J67" s="65"/>
      <c r="K67" s="65"/>
      <c r="L67" s="213"/>
      <c r="M67" s="65"/>
      <c r="N67" s="65"/>
    </row>
    <row r="68" spans="7:14" ht="24.75" customHeight="1">
      <c r="G68" s="65"/>
      <c r="H68" s="65"/>
      <c r="I68" s="213"/>
      <c r="J68" s="65"/>
      <c r="K68" s="65"/>
      <c r="L68" s="213"/>
      <c r="M68" s="65"/>
      <c r="N68" s="65"/>
    </row>
    <row r="69" spans="7:14" ht="24.75" customHeight="1">
      <c r="G69" s="65"/>
      <c r="H69" s="65"/>
      <c r="I69" s="213"/>
      <c r="J69" s="65"/>
      <c r="K69" s="65"/>
      <c r="L69" s="213"/>
      <c r="M69" s="65"/>
      <c r="N69" s="65"/>
    </row>
    <row r="70" spans="7:14" ht="24.75" customHeight="1">
      <c r="G70" s="65"/>
      <c r="H70" s="65"/>
      <c r="I70" s="213"/>
      <c r="J70" s="65"/>
      <c r="K70" s="65"/>
      <c r="L70" s="213"/>
      <c r="M70" s="65"/>
      <c r="N70" s="65"/>
    </row>
    <row r="71" spans="7:14" ht="18.75">
      <c r="G71" s="65"/>
      <c r="H71" s="65"/>
      <c r="I71" s="213"/>
      <c r="J71" s="65"/>
      <c r="K71" s="65"/>
      <c r="L71" s="213"/>
      <c r="M71" s="65"/>
      <c r="N71" s="65"/>
    </row>
    <row r="72" spans="7:14" ht="18.75">
      <c r="G72" s="65"/>
      <c r="H72" s="65"/>
      <c r="I72" s="213"/>
      <c r="J72" s="65"/>
      <c r="K72" s="65"/>
      <c r="L72" s="213"/>
      <c r="M72" s="65"/>
      <c r="N72" s="65"/>
    </row>
    <row r="73" spans="7:14" ht="18.75">
      <c r="G73" s="65"/>
      <c r="H73" s="65"/>
      <c r="I73" s="213"/>
      <c r="J73" s="65"/>
      <c r="K73" s="65"/>
      <c r="L73" s="213"/>
      <c r="M73" s="65"/>
      <c r="N73" s="65"/>
    </row>
    <row r="74" spans="7:14" ht="18.75">
      <c r="G74" s="65"/>
      <c r="H74" s="65"/>
      <c r="I74" s="213"/>
      <c r="J74" s="65"/>
      <c r="K74" s="65"/>
      <c r="L74" s="213"/>
      <c r="M74" s="65"/>
      <c r="N74" s="65"/>
    </row>
    <row r="75" spans="7:14" ht="18.75">
      <c r="G75" s="65"/>
      <c r="H75" s="65"/>
      <c r="I75" s="213"/>
      <c r="J75" s="65"/>
      <c r="K75" s="65"/>
      <c r="L75" s="213"/>
      <c r="M75" s="65"/>
      <c r="N75" s="65"/>
    </row>
    <row r="76" spans="7:14" ht="18.75">
      <c r="G76" s="65"/>
      <c r="H76" s="65"/>
      <c r="I76" s="213"/>
      <c r="J76" s="65"/>
      <c r="K76" s="65"/>
      <c r="L76" s="213"/>
      <c r="M76" s="65"/>
      <c r="N76" s="65"/>
    </row>
    <row r="77" spans="7:14" ht="18.75">
      <c r="G77" s="65"/>
      <c r="H77" s="65"/>
      <c r="I77" s="213"/>
      <c r="J77" s="65"/>
      <c r="K77" s="65"/>
      <c r="L77" s="213"/>
      <c r="M77" s="65"/>
      <c r="N77" s="65"/>
    </row>
    <row r="78" spans="7:14" ht="18.75">
      <c r="G78" s="65"/>
      <c r="H78" s="65"/>
      <c r="I78" s="213"/>
      <c r="J78" s="65"/>
      <c r="K78" s="65"/>
      <c r="L78" s="213"/>
      <c r="M78" s="65"/>
      <c r="N78" s="65"/>
    </row>
    <row r="79" spans="7:14" ht="18.75">
      <c r="G79" s="65"/>
      <c r="H79" s="65"/>
      <c r="I79" s="213"/>
      <c r="J79" s="65"/>
      <c r="K79" s="65"/>
      <c r="L79" s="213"/>
      <c r="M79" s="65"/>
      <c r="N79" s="65"/>
    </row>
    <row r="80" spans="7:14" ht="18.75">
      <c r="G80" s="65"/>
      <c r="H80" s="65"/>
      <c r="I80" s="213"/>
      <c r="J80" s="65"/>
      <c r="K80" s="65"/>
      <c r="L80" s="213"/>
      <c r="M80" s="65"/>
      <c r="N80" s="65"/>
    </row>
    <row r="81" spans="7:14" ht="18.75">
      <c r="G81" s="65"/>
      <c r="H81" s="65"/>
      <c r="I81" s="213"/>
      <c r="J81" s="65"/>
      <c r="K81" s="65"/>
      <c r="L81" s="213"/>
      <c r="M81" s="65"/>
      <c r="N81" s="65"/>
    </row>
    <row r="82" spans="7:14" ht="18.75">
      <c r="G82" s="65"/>
      <c r="H82" s="65"/>
      <c r="I82" s="213"/>
      <c r="J82" s="65"/>
      <c r="K82" s="65"/>
      <c r="L82" s="213"/>
      <c r="M82" s="65"/>
      <c r="N82" s="65"/>
    </row>
    <row r="83" spans="7:14" ht="18.75">
      <c r="G83" s="65"/>
      <c r="H83" s="65"/>
      <c r="I83" s="213"/>
      <c r="J83" s="65"/>
      <c r="K83" s="65"/>
      <c r="L83" s="213"/>
      <c r="M83" s="65"/>
      <c r="N83" s="65"/>
    </row>
    <row r="84" spans="7:14" ht="18.75">
      <c r="G84" s="65"/>
      <c r="H84" s="65"/>
      <c r="I84" s="213"/>
      <c r="J84" s="65"/>
      <c r="K84" s="65"/>
      <c r="L84" s="213"/>
      <c r="M84" s="65"/>
      <c r="N84" s="65"/>
    </row>
    <row r="85" spans="7:14" ht="18.75">
      <c r="G85" s="65"/>
      <c r="H85" s="65"/>
      <c r="I85" s="213"/>
      <c r="J85" s="65"/>
      <c r="K85" s="65"/>
      <c r="L85" s="213"/>
      <c r="M85" s="65"/>
      <c r="N85" s="65"/>
    </row>
    <row r="86" spans="7:14" ht="18.75">
      <c r="G86" s="65"/>
      <c r="H86" s="65"/>
      <c r="I86" s="213"/>
      <c r="J86" s="65"/>
      <c r="K86" s="65"/>
      <c r="L86" s="213"/>
      <c r="M86" s="65"/>
      <c r="N86" s="65"/>
    </row>
    <row r="87" spans="7:14" ht="18.75">
      <c r="G87" s="65"/>
      <c r="H87" s="65"/>
      <c r="I87" s="213"/>
      <c r="J87" s="65"/>
      <c r="K87" s="65"/>
      <c r="L87" s="213"/>
      <c r="M87" s="65"/>
      <c r="N87" s="65"/>
    </row>
    <row r="88" spans="7:14" ht="18.75">
      <c r="G88" s="65"/>
      <c r="H88" s="65"/>
      <c r="I88" s="213"/>
      <c r="J88" s="65"/>
      <c r="K88" s="65"/>
      <c r="L88" s="213"/>
      <c r="M88" s="65"/>
      <c r="N88" s="65"/>
    </row>
    <row r="89" spans="7:14" ht="18.75">
      <c r="G89" s="65"/>
      <c r="H89" s="65"/>
      <c r="I89" s="213"/>
      <c r="J89" s="65"/>
      <c r="K89" s="65"/>
      <c r="L89" s="213"/>
      <c r="M89" s="65"/>
      <c r="N89" s="65"/>
    </row>
  </sheetData>
  <sheetProtection/>
  <mergeCells count="11">
    <mergeCell ref="M5:M6"/>
    <mergeCell ref="M29:M31"/>
    <mergeCell ref="C30:L30"/>
    <mergeCell ref="C23:L23"/>
    <mergeCell ref="B1:N1"/>
    <mergeCell ref="B2:N2"/>
    <mergeCell ref="B4:C4"/>
    <mergeCell ref="D5:F5"/>
    <mergeCell ref="G5:I5"/>
    <mergeCell ref="J5:L5"/>
    <mergeCell ref="N5:N6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2017-03-22T12:47:07Z</cp:lastPrinted>
  <dcterms:created xsi:type="dcterms:W3CDTF">2001-09-14T09:33:50Z</dcterms:created>
  <dcterms:modified xsi:type="dcterms:W3CDTF">2017-03-22T14:34:43Z</dcterms:modified>
  <cp:category/>
  <cp:version/>
  <cp:contentType/>
  <cp:contentStatus/>
</cp:coreProperties>
</file>